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10" windowWidth="38055" windowHeight="11445"/>
  </bookViews>
  <sheets>
    <sheet name="Смета" sheetId="1" r:id="rId1"/>
  </sheets>
  <definedNames>
    <definedName name="_xlnm._FilterDatabase" localSheetId="0" hidden="1">Смета!$A$1:$P$217</definedName>
    <definedName name="_xlnm.Print_Titles" localSheetId="0">Смета!$1:$1</definedName>
  </definedNames>
  <calcPr calcId="124519"/>
</workbook>
</file>

<file path=xl/calcChain.xml><?xml version="1.0" encoding="utf-8"?>
<calcChain xmlns="http://schemas.openxmlformats.org/spreadsheetml/2006/main">
  <c r="O217" i="1"/>
  <c r="M216"/>
  <c r="L216"/>
  <c r="K216"/>
  <c r="J216"/>
  <c r="I216"/>
  <c r="H216"/>
  <c r="M215"/>
  <c r="L215"/>
  <c r="K215"/>
  <c r="J215"/>
  <c r="I215"/>
  <c r="H215"/>
  <c r="M214"/>
  <c r="L214"/>
  <c r="K214"/>
  <c r="J214"/>
  <c r="I214"/>
  <c r="H214"/>
  <c r="M213"/>
  <c r="L213"/>
  <c r="K213"/>
  <c r="J213"/>
  <c r="I213"/>
  <c r="H213"/>
  <c r="M212"/>
  <c r="L212"/>
  <c r="K212"/>
  <c r="J212"/>
  <c r="I212"/>
  <c r="H212"/>
  <c r="M211"/>
  <c r="L211"/>
  <c r="K211"/>
  <c r="J211"/>
  <c r="I211"/>
  <c r="H211"/>
  <c r="M210"/>
  <c r="L210"/>
  <c r="K210"/>
  <c r="J210"/>
  <c r="I210"/>
  <c r="H210"/>
  <c r="M208"/>
  <c r="L208"/>
  <c r="K208"/>
  <c r="J208"/>
  <c r="I208"/>
  <c r="H208"/>
  <c r="M204"/>
  <c r="L204"/>
  <c r="K204"/>
  <c r="J204"/>
  <c r="I204"/>
  <c r="H204"/>
  <c r="M201"/>
  <c r="L201"/>
  <c r="K201"/>
  <c r="J201"/>
  <c r="I201"/>
  <c r="H201"/>
  <c r="M200"/>
  <c r="L200"/>
  <c r="K200"/>
  <c r="J200"/>
  <c r="I200"/>
  <c r="H200"/>
  <c r="M198"/>
  <c r="L198"/>
  <c r="K198"/>
  <c r="J198"/>
  <c r="I198"/>
  <c r="H198"/>
  <c r="M197"/>
  <c r="L197"/>
  <c r="K197"/>
  <c r="J197"/>
  <c r="I197"/>
  <c r="H197"/>
  <c r="M196"/>
  <c r="L196"/>
  <c r="K196"/>
  <c r="J196"/>
  <c r="I196"/>
  <c r="H196"/>
  <c r="M195"/>
  <c r="L195"/>
  <c r="K195"/>
  <c r="J195"/>
  <c r="I195"/>
  <c r="H195"/>
  <c r="M194"/>
  <c r="L194"/>
  <c r="K194"/>
  <c r="J194"/>
  <c r="I194"/>
  <c r="H194"/>
  <c r="M192"/>
  <c r="L192"/>
  <c r="K192"/>
  <c r="J192"/>
  <c r="I192"/>
  <c r="H192"/>
  <c r="M191"/>
  <c r="L191"/>
  <c r="K191"/>
  <c r="J191"/>
  <c r="I191"/>
  <c r="H191"/>
  <c r="M190"/>
  <c r="L190"/>
  <c r="K190"/>
  <c r="J190"/>
  <c r="I190"/>
  <c r="H190"/>
  <c r="M189"/>
  <c r="L189"/>
  <c r="K189"/>
  <c r="J189"/>
  <c r="I189"/>
  <c r="H189"/>
  <c r="M188"/>
  <c r="L188"/>
  <c r="K188"/>
  <c r="J188"/>
  <c r="I188"/>
  <c r="H188"/>
  <c r="M186"/>
  <c r="L186"/>
  <c r="K186"/>
  <c r="J186"/>
  <c r="I186"/>
  <c r="H186"/>
  <c r="M185"/>
  <c r="L185"/>
  <c r="K185"/>
  <c r="J185"/>
  <c r="I185"/>
  <c r="H185"/>
  <c r="M184"/>
  <c r="L184"/>
  <c r="K184"/>
  <c r="J184"/>
  <c r="I184"/>
  <c r="H184"/>
  <c r="M183"/>
  <c r="L183"/>
  <c r="K183"/>
  <c r="J183"/>
  <c r="I183"/>
  <c r="H183"/>
  <c r="M182"/>
  <c r="L182"/>
  <c r="K182"/>
  <c r="J182"/>
  <c r="I182"/>
  <c r="H182"/>
  <c r="M179"/>
  <c r="L179"/>
  <c r="K179"/>
  <c r="J179"/>
  <c r="I179"/>
  <c r="H179"/>
  <c r="M178"/>
  <c r="L178"/>
  <c r="K178"/>
  <c r="J178"/>
  <c r="I178"/>
  <c r="H178"/>
  <c r="M177"/>
  <c r="L177"/>
  <c r="K177"/>
  <c r="J177"/>
  <c r="I177"/>
  <c r="H177"/>
  <c r="M175"/>
  <c r="L175"/>
  <c r="K175"/>
  <c r="J175"/>
  <c r="I175"/>
  <c r="H175"/>
  <c r="M174"/>
  <c r="L174"/>
  <c r="K174"/>
  <c r="J174"/>
  <c r="I174"/>
  <c r="H174"/>
  <c r="M171"/>
  <c r="L171"/>
  <c r="K171"/>
  <c r="J171"/>
  <c r="I171"/>
  <c r="H171"/>
  <c r="M169"/>
  <c r="L169"/>
  <c r="K169"/>
  <c r="J169"/>
  <c r="I169"/>
  <c r="H169"/>
  <c r="M167"/>
  <c r="L167"/>
  <c r="K167"/>
  <c r="J167"/>
  <c r="I167"/>
  <c r="H167"/>
  <c r="M166"/>
  <c r="L166"/>
  <c r="K166"/>
  <c r="J166"/>
  <c r="I166"/>
  <c r="H166"/>
  <c r="M165"/>
  <c r="L165"/>
  <c r="K165"/>
  <c r="J165"/>
  <c r="I165"/>
  <c r="H165"/>
  <c r="M162"/>
  <c r="L162"/>
  <c r="K162"/>
  <c r="J162"/>
  <c r="I162"/>
  <c r="H162"/>
  <c r="M161"/>
  <c r="L161"/>
  <c r="K161"/>
  <c r="J161"/>
  <c r="I161"/>
  <c r="H161"/>
  <c r="M160"/>
  <c r="L160"/>
  <c r="K160"/>
  <c r="J160"/>
  <c r="I160"/>
  <c r="H160"/>
  <c r="M158"/>
  <c r="L158"/>
  <c r="K158"/>
  <c r="J158"/>
  <c r="I158"/>
  <c r="H158"/>
  <c r="M157"/>
  <c r="L157"/>
  <c r="K157"/>
  <c r="J157"/>
  <c r="I157"/>
  <c r="H157"/>
  <c r="M156"/>
  <c r="L156"/>
  <c r="K156"/>
  <c r="J156"/>
  <c r="I156"/>
  <c r="H156"/>
  <c r="M154"/>
  <c r="L154"/>
  <c r="K154"/>
  <c r="J154"/>
  <c r="I154"/>
  <c r="H154"/>
  <c r="M153"/>
  <c r="L153"/>
  <c r="K153"/>
  <c r="J153"/>
  <c r="I153"/>
  <c r="H153"/>
  <c r="M151"/>
  <c r="L151"/>
  <c r="K151"/>
  <c r="J151"/>
  <c r="I151"/>
  <c r="H151"/>
  <c r="M149"/>
  <c r="L149"/>
  <c r="K149"/>
  <c r="J149"/>
  <c r="I149"/>
  <c r="H149"/>
  <c r="M148"/>
  <c r="L148"/>
  <c r="K148"/>
  <c r="J148"/>
  <c r="I148"/>
  <c r="H148"/>
  <c r="M145"/>
  <c r="L145"/>
  <c r="K145"/>
  <c r="J145"/>
  <c r="I145"/>
  <c r="H145"/>
  <c r="M143"/>
  <c r="L143"/>
  <c r="K143"/>
  <c r="J143"/>
  <c r="I143"/>
  <c r="H143"/>
  <c r="M142"/>
  <c r="L142"/>
  <c r="K142"/>
  <c r="J142"/>
  <c r="I142"/>
  <c r="H142"/>
  <c r="M141"/>
  <c r="L141"/>
  <c r="K141"/>
  <c r="J141"/>
  <c r="I141"/>
  <c r="H141"/>
  <c r="M139"/>
  <c r="L139"/>
  <c r="K139"/>
  <c r="J139"/>
  <c r="I139"/>
  <c r="H139"/>
  <c r="M137"/>
  <c r="L137"/>
  <c r="K137"/>
  <c r="J137"/>
  <c r="I137"/>
  <c r="H137"/>
  <c r="M136"/>
  <c r="L136"/>
  <c r="K136"/>
  <c r="J136"/>
  <c r="I136"/>
  <c r="H136"/>
  <c r="M135"/>
  <c r="L135"/>
  <c r="K135"/>
  <c r="J135"/>
  <c r="I135"/>
  <c r="H135"/>
  <c r="M134"/>
  <c r="L134"/>
  <c r="K134"/>
  <c r="J134"/>
  <c r="I134"/>
  <c r="H134"/>
  <c r="M133"/>
  <c r="L133"/>
  <c r="K133"/>
  <c r="J133"/>
  <c r="I133"/>
  <c r="H133"/>
  <c r="M132"/>
  <c r="L132"/>
  <c r="K132"/>
  <c r="J132"/>
  <c r="I132"/>
  <c r="H132"/>
  <c r="M129"/>
  <c r="L129"/>
  <c r="K129"/>
  <c r="J129"/>
  <c r="I129"/>
  <c r="H129"/>
  <c r="M126"/>
  <c r="L126"/>
  <c r="K126"/>
  <c r="J126"/>
  <c r="I126"/>
  <c r="H126"/>
  <c r="M124"/>
  <c r="L124"/>
  <c r="K124"/>
  <c r="J124"/>
  <c r="I124"/>
  <c r="H124"/>
  <c r="M123"/>
  <c r="L123"/>
  <c r="K123"/>
  <c r="J123"/>
  <c r="I123"/>
  <c r="H123"/>
  <c r="M120"/>
  <c r="L120"/>
  <c r="K120"/>
  <c r="J120"/>
  <c r="I120"/>
  <c r="H120"/>
  <c r="M118"/>
  <c r="L118"/>
  <c r="K118"/>
  <c r="J118"/>
  <c r="I118"/>
  <c r="H118"/>
  <c r="M117"/>
  <c r="L117"/>
  <c r="K117"/>
  <c r="J117"/>
  <c r="I117"/>
  <c r="H117"/>
  <c r="M116"/>
  <c r="L116"/>
  <c r="K116"/>
  <c r="J116"/>
  <c r="I116"/>
  <c r="H116"/>
  <c r="M115"/>
  <c r="L115"/>
  <c r="K115"/>
  <c r="J115"/>
  <c r="I115"/>
  <c r="H115"/>
  <c r="M114"/>
  <c r="L114"/>
  <c r="K114"/>
  <c r="J114"/>
  <c r="I114"/>
  <c r="H114"/>
  <c r="M113"/>
  <c r="L113"/>
  <c r="K113"/>
  <c r="J113"/>
  <c r="I113"/>
  <c r="H113"/>
  <c r="M110"/>
  <c r="L110"/>
  <c r="K110"/>
  <c r="J110"/>
  <c r="I110"/>
  <c r="H110"/>
  <c r="M108"/>
  <c r="L108"/>
  <c r="K108"/>
  <c r="J108"/>
  <c r="I108"/>
  <c r="H108"/>
  <c r="M106"/>
  <c r="L106"/>
  <c r="K106"/>
  <c r="J106"/>
  <c r="I106"/>
  <c r="H106"/>
  <c r="M104"/>
  <c r="L104"/>
  <c r="K104"/>
  <c r="J104"/>
  <c r="I104"/>
  <c r="H104"/>
  <c r="M102"/>
  <c r="L102"/>
  <c r="K102"/>
  <c r="J102"/>
  <c r="I102"/>
  <c r="H102"/>
  <c r="M101"/>
  <c r="L101"/>
  <c r="K101"/>
  <c r="J101"/>
  <c r="I101"/>
  <c r="H101"/>
  <c r="M97"/>
  <c r="L97"/>
  <c r="K97"/>
  <c r="J97"/>
  <c r="I97"/>
  <c r="H97"/>
  <c r="M96"/>
  <c r="L96"/>
  <c r="K96"/>
  <c r="J96"/>
  <c r="I96"/>
  <c r="H96"/>
  <c r="M94"/>
  <c r="L94"/>
  <c r="K94"/>
  <c r="J94"/>
  <c r="I94"/>
  <c r="H94"/>
  <c r="M91"/>
  <c r="L91"/>
  <c r="K91"/>
  <c r="J91"/>
  <c r="I91"/>
  <c r="H91"/>
  <c r="M90"/>
  <c r="L90"/>
  <c r="K90"/>
  <c r="J90"/>
  <c r="I90"/>
  <c r="H90"/>
  <c r="M89"/>
  <c r="L89"/>
  <c r="K89"/>
  <c r="J89"/>
  <c r="I89"/>
  <c r="H89"/>
  <c r="M85"/>
  <c r="L85"/>
  <c r="K85"/>
  <c r="J85"/>
  <c r="I85"/>
  <c r="H85"/>
  <c r="M83"/>
  <c r="L83"/>
  <c r="K83"/>
  <c r="J83"/>
  <c r="I83"/>
  <c r="H83"/>
  <c r="M81"/>
  <c r="L81"/>
  <c r="K81"/>
  <c r="J81"/>
  <c r="I81"/>
  <c r="H81"/>
  <c r="M80"/>
  <c r="L80"/>
  <c r="K80"/>
  <c r="J80"/>
  <c r="I80"/>
  <c r="H80"/>
  <c r="M79"/>
  <c r="L79"/>
  <c r="K79"/>
  <c r="J79"/>
  <c r="I79"/>
  <c r="H79"/>
  <c r="M78"/>
  <c r="L78"/>
  <c r="K78"/>
  <c r="J78"/>
  <c r="I78"/>
  <c r="H78"/>
  <c r="M77"/>
  <c r="L77"/>
  <c r="K77"/>
  <c r="J77"/>
  <c r="I77"/>
  <c r="H77"/>
  <c r="M76"/>
  <c r="L76"/>
  <c r="K76"/>
  <c r="J76"/>
  <c r="I76"/>
  <c r="H76"/>
  <c r="M75"/>
  <c r="L75"/>
  <c r="K75"/>
  <c r="J75"/>
  <c r="I75"/>
  <c r="H75"/>
  <c r="M74"/>
  <c r="L74"/>
  <c r="K74"/>
  <c r="J74"/>
  <c r="I74"/>
  <c r="H74"/>
  <c r="M73"/>
  <c r="L73"/>
  <c r="K73"/>
  <c r="J73"/>
  <c r="I73"/>
  <c r="H73"/>
  <c r="M70"/>
  <c r="L70"/>
  <c r="K70"/>
  <c r="J70"/>
  <c r="I70"/>
  <c r="H70"/>
  <c r="M69"/>
  <c r="L69"/>
  <c r="K69"/>
  <c r="J69"/>
  <c r="I69"/>
  <c r="H69"/>
  <c r="M68"/>
  <c r="L68"/>
  <c r="K68"/>
  <c r="J68"/>
  <c r="I68"/>
  <c r="H68"/>
  <c r="M66"/>
  <c r="L66"/>
  <c r="K66"/>
  <c r="J66"/>
  <c r="I66"/>
  <c r="H66"/>
  <c r="M64"/>
  <c r="L64"/>
  <c r="K64"/>
  <c r="J64"/>
  <c r="I64"/>
  <c r="H64"/>
  <c r="M63"/>
  <c r="L63"/>
  <c r="K63"/>
  <c r="J63"/>
  <c r="I63"/>
  <c r="H63"/>
  <c r="M62"/>
  <c r="L62"/>
  <c r="K62"/>
  <c r="J62"/>
  <c r="I62"/>
  <c r="H62"/>
  <c r="M61"/>
  <c r="L61"/>
  <c r="K61"/>
  <c r="J61"/>
  <c r="I61"/>
  <c r="H61"/>
  <c r="M60"/>
  <c r="L60"/>
  <c r="K60"/>
  <c r="J60"/>
  <c r="I60"/>
  <c r="H60"/>
  <c r="M59"/>
  <c r="L59"/>
  <c r="K59"/>
  <c r="J59"/>
  <c r="I59"/>
  <c r="H59"/>
  <c r="M58"/>
  <c r="L58"/>
  <c r="K58"/>
  <c r="J58"/>
  <c r="I58"/>
  <c r="H58"/>
  <c r="M56"/>
  <c r="L56"/>
  <c r="K56"/>
  <c r="J56"/>
  <c r="I56"/>
  <c r="H56"/>
  <c r="M54"/>
  <c r="L54"/>
  <c r="K54"/>
  <c r="J54"/>
  <c r="I54"/>
  <c r="H54"/>
  <c r="M53"/>
  <c r="L53"/>
  <c r="K53"/>
  <c r="J53"/>
  <c r="I53"/>
  <c r="H53"/>
  <c r="M51"/>
  <c r="L51"/>
  <c r="K51"/>
  <c r="J51"/>
  <c r="I51"/>
  <c r="H51"/>
  <c r="M50"/>
  <c r="L50"/>
  <c r="K50"/>
  <c r="J50"/>
  <c r="I50"/>
  <c r="H50"/>
  <c r="M49"/>
  <c r="L49"/>
  <c r="K49"/>
  <c r="J49"/>
  <c r="I49"/>
  <c r="H49"/>
  <c r="M46"/>
  <c r="L46"/>
  <c r="K46"/>
  <c r="J46"/>
  <c r="I46"/>
  <c r="H46"/>
  <c r="M45"/>
  <c r="L45"/>
  <c r="K45"/>
  <c r="J45"/>
  <c r="I45"/>
  <c r="H45"/>
  <c r="M42"/>
  <c r="L42"/>
  <c r="K42"/>
  <c r="J42"/>
  <c r="I42"/>
  <c r="H42"/>
  <c r="M41"/>
  <c r="L41"/>
  <c r="K41"/>
  <c r="J41"/>
  <c r="I41"/>
  <c r="H41"/>
  <c r="M40"/>
  <c r="L40"/>
  <c r="K40"/>
  <c r="J40"/>
  <c r="I40"/>
  <c r="H40"/>
  <c r="M36"/>
  <c r="L36"/>
  <c r="K36"/>
  <c r="J36"/>
  <c r="I36"/>
  <c r="H36"/>
  <c r="M32"/>
  <c r="L32"/>
  <c r="K32"/>
  <c r="J32"/>
  <c r="I32"/>
  <c r="H32"/>
  <c r="M31"/>
  <c r="L31"/>
  <c r="K31"/>
  <c r="J31"/>
  <c r="I31"/>
  <c r="H31"/>
  <c r="M28"/>
  <c r="L28"/>
  <c r="K28"/>
  <c r="J28"/>
  <c r="I28"/>
  <c r="H28"/>
  <c r="M27"/>
  <c r="L27"/>
  <c r="K27"/>
  <c r="J27"/>
  <c r="I27"/>
  <c r="H27"/>
  <c r="M26"/>
  <c r="L26"/>
  <c r="K26"/>
  <c r="J26"/>
  <c r="I26"/>
  <c r="H26"/>
  <c r="M25"/>
  <c r="L25"/>
  <c r="K25"/>
  <c r="J25"/>
  <c r="I25"/>
  <c r="H25"/>
  <c r="M23"/>
  <c r="L23"/>
  <c r="K23"/>
  <c r="J23"/>
  <c r="I23"/>
  <c r="H23"/>
  <c r="M21"/>
  <c r="L21"/>
  <c r="K21"/>
  <c r="J21"/>
  <c r="I21"/>
  <c r="H21"/>
  <c r="M18"/>
  <c r="L18"/>
  <c r="K18"/>
  <c r="J18"/>
  <c r="I18"/>
  <c r="H18"/>
  <c r="M17"/>
  <c r="L17"/>
  <c r="K17"/>
  <c r="J17"/>
  <c r="I17"/>
  <c r="H17"/>
  <c r="M15"/>
  <c r="L15"/>
  <c r="K15"/>
  <c r="J15"/>
  <c r="I15"/>
  <c r="H15"/>
  <c r="M12"/>
  <c r="L12"/>
  <c r="K12"/>
  <c r="J12"/>
  <c r="I12"/>
  <c r="H12"/>
  <c r="M9"/>
  <c r="L9"/>
  <c r="K9"/>
  <c r="J9"/>
  <c r="I9"/>
  <c r="H9"/>
  <c r="M8"/>
  <c r="L8"/>
  <c r="K8"/>
  <c r="J8"/>
  <c r="I8"/>
  <c r="H8"/>
  <c r="M7"/>
  <c r="L7"/>
  <c r="K7"/>
  <c r="J7"/>
  <c r="I7"/>
  <c r="H7"/>
  <c r="M6"/>
  <c r="L6"/>
  <c r="K6"/>
  <c r="J6"/>
  <c r="I6"/>
  <c r="H6"/>
  <c r="I217" l="1"/>
  <c r="M217"/>
  <c r="N106"/>
  <c r="N114"/>
  <c r="N129"/>
  <c r="N132"/>
  <c r="N136"/>
  <c r="N149"/>
  <c r="N156"/>
  <c r="N161"/>
  <c r="N167"/>
  <c r="N174"/>
  <c r="N179"/>
  <c r="N184"/>
  <c r="N189"/>
  <c r="N194"/>
  <c r="N198"/>
  <c r="L217"/>
  <c r="N7"/>
  <c r="N8"/>
  <c r="N12"/>
  <c r="N17"/>
  <c r="N18"/>
  <c r="N21"/>
  <c r="N25"/>
  <c r="N26"/>
  <c r="N27"/>
  <c r="N31"/>
  <c r="N32"/>
  <c r="N36"/>
  <c r="N41"/>
  <c r="N42"/>
  <c r="N45"/>
  <c r="N49"/>
  <c r="N50"/>
  <c r="N51"/>
  <c r="N54"/>
  <c r="N56"/>
  <c r="H217"/>
  <c r="N118"/>
  <c r="N142"/>
  <c r="N211"/>
  <c r="N213"/>
  <c r="K217"/>
  <c r="N58"/>
  <c r="N60"/>
  <c r="N61"/>
  <c r="N62"/>
  <c r="N64"/>
  <c r="N66"/>
  <c r="N68"/>
  <c r="N70"/>
  <c r="N73"/>
  <c r="N74"/>
  <c r="N76"/>
  <c r="N77"/>
  <c r="N78"/>
  <c r="N80"/>
  <c r="N81"/>
  <c r="N83"/>
  <c r="N85"/>
  <c r="N89"/>
  <c r="N91"/>
  <c r="N94"/>
  <c r="N96"/>
  <c r="N97"/>
  <c r="N101"/>
  <c r="N102"/>
  <c r="J217"/>
  <c r="N9"/>
  <c r="N15"/>
  <c r="N23"/>
  <c r="N28"/>
  <c r="N40"/>
  <c r="N46"/>
  <c r="N53"/>
  <c r="N59"/>
  <c r="N63"/>
  <c r="N69"/>
  <c r="N75"/>
  <c r="N79"/>
  <c r="N90"/>
  <c r="N141"/>
  <c r="N148"/>
  <c r="N154"/>
  <c r="N160"/>
  <c r="N166"/>
  <c r="N171"/>
  <c r="N178"/>
  <c r="N183"/>
  <c r="N188"/>
  <c r="N192"/>
  <c r="N197"/>
  <c r="N204"/>
  <c r="N210"/>
  <c r="N216"/>
  <c r="N104"/>
  <c r="N108"/>
  <c r="N110"/>
  <c r="N113"/>
  <c r="N115"/>
  <c r="N116"/>
  <c r="N117"/>
  <c r="N120"/>
  <c r="N123"/>
  <c r="N124"/>
  <c r="N126"/>
  <c r="N133"/>
  <c r="N134"/>
  <c r="N135"/>
  <c r="N137"/>
  <c r="N139"/>
  <c r="N143"/>
  <c r="N145"/>
  <c r="N151"/>
  <c r="N153"/>
  <c r="N157"/>
  <c r="N158"/>
  <c r="N162"/>
  <c r="N165"/>
  <c r="N169"/>
  <c r="N175"/>
  <c r="N177"/>
  <c r="N182"/>
  <c r="N185"/>
  <c r="N186"/>
  <c r="N190"/>
  <c r="N191"/>
  <c r="N195"/>
  <c r="N196"/>
  <c r="N200"/>
  <c r="N201"/>
  <c r="N208"/>
  <c r="N212"/>
  <c r="N214"/>
  <c r="N215"/>
  <c r="N6"/>
  <c r="N217" l="1"/>
</calcChain>
</file>

<file path=xl/sharedStrings.xml><?xml version="1.0" encoding="utf-8"?>
<sst xmlns="http://schemas.openxmlformats.org/spreadsheetml/2006/main" count="577" uniqueCount="530">
  <si>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</si>
  <si>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</si>
  <si>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</si>
  <si>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</si>
  <si>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</si>
  <si>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</si>
  <si>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</si>
  <si>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</si>
  <si>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</si>
  <si>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</si>
  <si>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</si>
  <si>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ПРИБЫЛЬ, РУБ.</t>
  </si>
  <si>
    <t>РАСХОДЫ НА УПРАВ., РУБ.</t>
  </si>
  <si>
    <t>СТОИМОСТЬ, РУБ.</t>
  </si>
  <si>
    <t>Дата изменения:</t>
  </si>
  <si>
    <t>Общая площадь, кв.м:</t>
  </si>
  <si>
    <t>1.1</t>
  </si>
  <si>
    <t>Фундаменты</t>
  </si>
  <si>
    <t>1.1.3</t>
  </si>
  <si>
    <t>Устранение замачивания грунта под фундаментом</t>
  </si>
  <si>
    <t>1.1.3.1</t>
  </si>
  <si>
    <t>Замена поврежденного участка трубопровода диаметром до 100 мм</t>
  </si>
  <si>
    <t>1 участок (6 м)</t>
  </si>
  <si>
    <t>1.1.8</t>
  </si>
  <si>
    <t>Восстановление (ремонт)  решеток на  продухах  фундамента</t>
  </si>
  <si>
    <t>100 решеток</t>
  </si>
  <si>
    <t>1.1.10</t>
  </si>
  <si>
    <t>Восстановление (ремонт) отмостки</t>
  </si>
  <si>
    <t>100 м2 отмостки</t>
  </si>
  <si>
    <t>1.1.12</t>
  </si>
  <si>
    <t>Восстановление (ремонт) вводов инженерных коммуникаций   в подвальные  помещения  через  фундаменты</t>
  </si>
  <si>
    <t>100 шт.</t>
  </si>
  <si>
    <t>1.2</t>
  </si>
  <si>
    <t>Кирпичные, каменные и железобетонные стены</t>
  </si>
  <si>
    <t>1.2.4</t>
  </si>
  <si>
    <t>Создание,  восстановление или модернизация гидроизоляции стен</t>
  </si>
  <si>
    <t>1.2.4.6</t>
  </si>
  <si>
    <t>Оштукатуривание поверхностей цоколя из камня или бетона цементно-известковым или цементным раствором</t>
  </si>
  <si>
    <t>100 м2 оштукатуриваемой  поверхности</t>
  </si>
  <si>
    <t>100 м2 отремонтированной поверхности</t>
  </si>
  <si>
    <t>1.2.12</t>
  </si>
  <si>
    <t>Окраска  фасадов</t>
  </si>
  <si>
    <t>1.2.12.4</t>
  </si>
  <si>
    <t>Окрашивание фасадов силикатными красками</t>
  </si>
  <si>
    <t>1.2.12.4.2</t>
  </si>
  <si>
    <t>Окрашивание гладких оштукатуренных фасадов силикатными красками</t>
  </si>
  <si>
    <t>100 м2 обработанной поверхности</t>
  </si>
  <si>
    <t>1.2.14</t>
  </si>
  <si>
    <t>Восстановление (ремонт)  водоотводящих устройств наружных  стен</t>
  </si>
  <si>
    <t>1.2.14.2</t>
  </si>
  <si>
    <t>Смена настенных  желобов</t>
  </si>
  <si>
    <t>100 м желоба</t>
  </si>
  <si>
    <t>1.2.14.4</t>
  </si>
  <si>
    <t>Смена обделок примыканий из листовой стали карнизных свесов, поясков сандриков, оконных и балконных отливов</t>
  </si>
  <si>
    <t>100 м примыканий</t>
  </si>
  <si>
    <t>1.2.17</t>
  </si>
  <si>
    <t>Окраска стен  помещений  общего  пользования</t>
  </si>
  <si>
    <t>1.2.17.3</t>
  </si>
  <si>
    <t>Масляная окраска ранее окрашенных поверхностей</t>
  </si>
  <si>
    <t>1.2.17.3.1</t>
  </si>
  <si>
    <t>Простая масляная окраска ранее окрашенных поверхностей</t>
  </si>
  <si>
    <t>100 м2 окрашенной поверхности</t>
  </si>
  <si>
    <t>1.2.17.4</t>
  </si>
  <si>
    <t>Окрашивание поверхностей стен водоэмульсионными составами</t>
  </si>
  <si>
    <t>1.2.17.4.3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</si>
  <si>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</si>
  <si>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100 м2 окрашиваемой поверхности</t>
  </si>
  <si>
    <t>1.2.18</t>
  </si>
  <si>
    <t>Внутренняя отделка зданий</t>
  </si>
  <si>
    <t>1.2.18.1</t>
  </si>
  <si>
    <t>Ремонт внутренней штукатурки потолков отдельными местами</t>
  </si>
  <si>
    <t>100 кв. м</t>
  </si>
  <si>
    <t>1.2.18.3</t>
  </si>
  <si>
    <t>Перетирка штукатурки поверхности потолков</t>
  </si>
  <si>
    <t>100 кв.м</t>
  </si>
  <si>
    <t>1.2.18.6</t>
  </si>
  <si>
    <t>Известковая окраска ранее окрашенных поверхностей потолков</t>
  </si>
  <si>
    <t>1.2.19</t>
  </si>
  <si>
    <t>Установка групповых металлических почтовых ящиков на 6 отделений</t>
  </si>
  <si>
    <t>1 ящик</t>
  </si>
  <si>
    <t>100 кв.м.</t>
  </si>
  <si>
    <t>1.6</t>
  </si>
  <si>
    <t>Полы</t>
  </si>
  <si>
    <t>1.6.3</t>
  </si>
  <si>
    <t>Окраска  деревянных  полов</t>
  </si>
  <si>
    <t>1.6.3.1</t>
  </si>
  <si>
    <t>Масляная окраска полов</t>
  </si>
  <si>
    <t>1.6.3.2</t>
  </si>
  <si>
    <t>Масляная окраска плинтусов</t>
  </si>
  <si>
    <t>1.8</t>
  </si>
  <si>
    <t>Крыши и кровли</t>
  </si>
  <si>
    <t>1.8.1</t>
  </si>
  <si>
    <t>Устранение протечек кровли</t>
  </si>
  <si>
    <t>1.8.1.1</t>
  </si>
  <si>
    <t>Устранение  протечек кровли из штучных материалов</t>
  </si>
  <si>
    <t>1.8.1.1.1</t>
  </si>
  <si>
    <t>Смена поврежденных листов асбоцементных кровель</t>
  </si>
  <si>
    <t>100 м2 сменяемого покрытия</t>
  </si>
  <si>
    <t>1.8.2</t>
  </si>
  <si>
    <t>Ремонт, модернизация кровли и крыши</t>
  </si>
  <si>
    <t>1.8.2.3</t>
  </si>
  <si>
    <t>Ремонт, модернизация кровли из штучных материалов</t>
  </si>
  <si>
    <t>1.8.2.3.1</t>
  </si>
  <si>
    <t>Ремонт, модернизация кровли из асбоцементных листов</t>
  </si>
  <si>
    <t>1.8.2.3.1.1</t>
  </si>
  <si>
    <t>1.8.2.3.1.4</t>
  </si>
  <si>
    <t>Смена местами обрешетки  крыши  из брусков   (при разобранной крыше)</t>
  </si>
  <si>
    <t>100 м2 обрешетки</t>
  </si>
  <si>
    <t>1.8.2.8</t>
  </si>
  <si>
    <t>Укрепление стропильных ног</t>
  </si>
  <si>
    <t>1 м укрепляемой конструкции</t>
  </si>
  <si>
    <t>1.8.3</t>
  </si>
  <si>
    <t>Восстановление (ремонт) вентиляционных устройств (оборудования)</t>
  </si>
  <si>
    <t>1.8.3.1</t>
  </si>
  <si>
    <t>Смена колпаков вентиляционных труб</t>
  </si>
  <si>
    <t>1.8.3.1.1</t>
  </si>
  <si>
    <t>Смена колпаков вентиляционных труб (при одном канале в трубе)</t>
  </si>
  <si>
    <t>100 колпаков</t>
  </si>
  <si>
    <t>1.8.3.1.2</t>
  </si>
  <si>
    <t>Смена колпаков вентиляционных труб (на каждый доп. 1 канал)</t>
  </si>
  <si>
    <t>на каждый доп. 1 канал на 100 колпаков</t>
  </si>
  <si>
    <t>1.8.7</t>
  </si>
  <si>
    <t>Восстановление (ремонт) дымовых и  вентиляционных труб</t>
  </si>
  <si>
    <t>1.8.7.1</t>
  </si>
  <si>
    <t>Разборка вентиляционных каналов</t>
  </si>
  <si>
    <t>1.8.7.1.1</t>
  </si>
  <si>
    <t>Разборка одинарных вентиляционных каналов</t>
  </si>
  <si>
    <t>100 м2 поверхности канала</t>
  </si>
  <si>
    <t>1.8.7.3</t>
  </si>
  <si>
    <t>Прочистка засоренных вентиляционных каналов</t>
  </si>
  <si>
    <t>10 м канала</t>
  </si>
  <si>
    <t>1.8.7.6</t>
  </si>
  <si>
    <t>Оштукатуривание поверхности дымовых труб</t>
  </si>
  <si>
    <t xml:space="preserve">100 м2 поверхности </t>
  </si>
  <si>
    <t>1.8.9</t>
  </si>
  <si>
    <t>Восстановление (ремонт) выходов на крышу</t>
  </si>
  <si>
    <t>1.8.9.2</t>
  </si>
  <si>
    <t>Окраска деревянных лестниц и  дверей выхода на крышу</t>
  </si>
  <si>
    <t>1.8.9.4</t>
  </si>
  <si>
    <t>Ремонт обыкновенной штукатурки гладких каменных фасадов отдельными местами</t>
  </si>
  <si>
    <t>1.8.10</t>
  </si>
  <si>
    <t>Восстановление (ремонт) парапетов, архитектурных деталей и т.д.</t>
  </si>
  <si>
    <t>1.8.10.3</t>
  </si>
  <si>
    <t>Смена покрытия   зонтов и козырьков над крыльцами и подъездами</t>
  </si>
  <si>
    <t>100 м2 объема работ</t>
  </si>
  <si>
    <t>1.8.11</t>
  </si>
  <si>
    <t>Восстановление (ремонт) систем водоотвода</t>
  </si>
  <si>
    <t>1.8.11.1</t>
  </si>
  <si>
    <t>Ремонт водосточных труб с земли и подмостей</t>
  </si>
  <si>
    <t>100 м трубы</t>
  </si>
  <si>
    <t>1.8.11.2</t>
  </si>
  <si>
    <t>Ремонт водосточных труб с люлек</t>
  </si>
  <si>
    <t>1.8.11.3</t>
  </si>
  <si>
    <t>Смена прямых звеньев водосточных труб</t>
  </si>
  <si>
    <t>1.8.11.4</t>
  </si>
  <si>
    <t>Смена воронок</t>
  </si>
  <si>
    <t>1.8.11.5</t>
  </si>
  <si>
    <t>Смена простых колен</t>
  </si>
  <si>
    <t>1.8.11.6</t>
  </si>
  <si>
    <t>Смена простых отливов</t>
  </si>
  <si>
    <t>1.8.11.7</t>
  </si>
  <si>
    <t>Смена карнизных свесов с настенными желобами  из листовой стали (с применением смоляной пакли и битума)</t>
  </si>
  <si>
    <t>100 м карнизных свесов</t>
  </si>
  <si>
    <t>1.8.12</t>
  </si>
  <si>
    <t>Ремонт примыканий и заделка стыков</t>
  </si>
  <si>
    <t>1.8.12.3</t>
  </si>
  <si>
    <t>Смена обделок примыканий из листовой стали к  дымовым трубам</t>
  </si>
  <si>
    <t>100 труб</t>
  </si>
  <si>
    <t>1.8.13</t>
  </si>
  <si>
    <t>Ремонт, утепление дверей с лестничных площадок на чердак</t>
  </si>
  <si>
    <t>1.8.13.1</t>
  </si>
  <si>
    <t>1.8.13.2</t>
  </si>
  <si>
    <t>Восстановление тепловой изоляции дверей</t>
  </si>
  <si>
    <t>100 дверей</t>
  </si>
  <si>
    <t>1.8.13.3</t>
  </si>
  <si>
    <t>Замена обивки дверей стальным листом</t>
  </si>
  <si>
    <t>100  м2 двери</t>
  </si>
  <si>
    <t>1.9</t>
  </si>
  <si>
    <t>Оконные и дверные проемы</t>
  </si>
  <si>
    <t>1.9.1</t>
  </si>
  <si>
    <t>Восстановление (ремонт) дверей в помещениях  общего  пользования</t>
  </si>
  <si>
    <t>1.9.1.8</t>
  </si>
  <si>
    <t>Ремонт порогов шириной 100 мм</t>
  </si>
  <si>
    <t>100 отремонтированных мест</t>
  </si>
  <si>
    <t>1.9.1.10</t>
  </si>
  <si>
    <t>Смена дверных петель при одной сменяемой петле в полотне</t>
  </si>
  <si>
    <t>10 петель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</si>
  <si>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</si>
  <si>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</si>
  <si>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</si>
  <si>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</si>
  <si>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</si>
  <si>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</si>
  <si>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1.9.1.19</t>
  </si>
  <si>
    <t>Смена замков накладных</t>
  </si>
  <si>
    <t>100 замков</t>
  </si>
  <si>
    <t>1.9.1.22</t>
  </si>
  <si>
    <t>Простая масляная окраска дверей</t>
  </si>
  <si>
    <t>1.9.1.24</t>
  </si>
  <si>
    <t>Установка дверного доводчика к металлическим дверям</t>
  </si>
  <si>
    <t>1 доводчик</t>
  </si>
  <si>
    <t>1.9.1.25</t>
  </si>
  <si>
    <t>Установка дверного доводчика к дверям из древесины</t>
  </si>
  <si>
    <t>1 прибор</t>
  </si>
  <si>
    <t>1.9.1.26</t>
  </si>
  <si>
    <t>Установка дверей и заслонок в проемах подвальных и чердачных помещений</t>
  </si>
  <si>
    <t>1 полотно</t>
  </si>
  <si>
    <t>1.9.3</t>
  </si>
  <si>
    <t>Замена  дверей в помещениях  общего  пользования</t>
  </si>
  <si>
    <t>1.9.3.1</t>
  </si>
  <si>
    <t>Замена одностворных дверей на врезных шпонках</t>
  </si>
  <si>
    <t>1.9.6</t>
  </si>
  <si>
    <t>Восстановление (ремонт) дверных и оконных откосов</t>
  </si>
  <si>
    <t>1.9.6.1</t>
  </si>
  <si>
    <t>Восстановление (ремонт) дверных и оконных откосов в каменных стенах</t>
  </si>
  <si>
    <t>1 кв.м. откоса</t>
  </si>
  <si>
    <t>100 м</t>
  </si>
  <si>
    <t>2.1</t>
  </si>
  <si>
    <t>Система теплоснабжения</t>
  </si>
  <si>
    <t>2.1.2</t>
  </si>
  <si>
    <t>Ремонт,  модернизация внутридомовых отопительных сетей</t>
  </si>
  <si>
    <t>2.1.2.2</t>
  </si>
  <si>
    <t>Смена отдельных участков трубопроводов из стальных электросварных труб</t>
  </si>
  <si>
    <t>2.1.2.2.1</t>
  </si>
  <si>
    <t>Смена отдельных участков трубопроводов из стальных электросварных труб  диаметром 40 мм</t>
  </si>
  <si>
    <t>100 м трубопровода</t>
  </si>
  <si>
    <t>2.1.2.2.2</t>
  </si>
  <si>
    <t>Смена отдельных участков трубопроводов из стальных электросварных труб   диаметром 50 мм</t>
  </si>
  <si>
    <t>2.1.2.2.5</t>
  </si>
  <si>
    <t>Смена отдельных участков трубопроводов из стальных электросварных труб диаметром 100 мм</t>
  </si>
  <si>
    <t>2.1.3</t>
  </si>
  <si>
    <t>Ремонт,  промывка  отопительных  элементов</t>
  </si>
  <si>
    <t>100 радиаторных блоков</t>
  </si>
  <si>
    <t>2.1.3.5</t>
  </si>
  <si>
    <t>Прочистка и промывка отопительных приборов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</si>
  <si>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</si>
  <si>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</si>
  <si>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</si>
  <si>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2.1.6</t>
  </si>
  <si>
    <t>Ремонт или  замена  неисправных  приборов  учета и  регулирования</t>
  </si>
  <si>
    <t>2.1.6.1</t>
  </si>
  <si>
    <t>Ремонт прибора учета</t>
  </si>
  <si>
    <t>прибор</t>
  </si>
  <si>
    <t>2.1.6.2</t>
  </si>
  <si>
    <t>Замена прибора учета</t>
  </si>
  <si>
    <t>100 вентилей</t>
  </si>
  <si>
    <t>100 кранов</t>
  </si>
  <si>
    <t>2.2</t>
  </si>
  <si>
    <t>Системы холодного и горячего водоснабжения</t>
  </si>
  <si>
    <t>2.2.1</t>
  </si>
  <si>
    <t>Ремонт,  замена  внутридомовых сетей водоснабжения</t>
  </si>
  <si>
    <t>2.2.1.2</t>
  </si>
  <si>
    <t>Смена отдельных участков трубопроводов  водоснабжения из стальных водогазопроводных оцинкованных труб при соединении труб  на сварке</t>
  </si>
  <si>
    <t>2.2.1.2.1</t>
  </si>
  <si>
    <t>Смена отдельных участков трубопроводов водоснабжения из стальных водогазопроводных оцинкованных труб диаметром 40 мм</t>
  </si>
  <si>
    <t>100 м трубопроводов</t>
  </si>
  <si>
    <t>2.2.1.2.2</t>
  </si>
  <si>
    <t>Смена отдельных участков трубопроводов  водоснабжения из стальных водогазопроводных оцинкованных труб диаметром 50 мм</t>
  </si>
  <si>
    <t>2.2.1.3</t>
  </si>
  <si>
    <t>Смена отдельных участков трубопроводов  водоснабжения из стальных электросварных труб</t>
  </si>
  <si>
    <t>2.2.1.3.1</t>
  </si>
  <si>
    <t>Смена отдельных участков трубопроводов  водоснабжения из стальных электросварных труб диаметром 40 мм</t>
  </si>
  <si>
    <t>2.2.1.6</t>
  </si>
  <si>
    <t>Временная заделка свищей и трещин на внутренних трубопроводах и стояках</t>
  </si>
  <si>
    <t>2.2.1.6.1</t>
  </si>
  <si>
    <t>Временная заделка свищей и трещин на внутренних трубопроводах и стояках при диаметре трубопровода до 50 мм</t>
  </si>
  <si>
    <t>100 мест</t>
  </si>
  <si>
    <t>2.2.1.7</t>
  </si>
  <si>
    <t>Смена сгонов у трубопроводов</t>
  </si>
  <si>
    <t>2.2.1.7.1</t>
  </si>
  <si>
    <t>Смена сгонов у трубопроводов диаметром до 20 мм</t>
  </si>
  <si>
    <t>100 сгонов</t>
  </si>
  <si>
    <t>2.2.1.8</t>
  </si>
  <si>
    <t>Уплотнение сгонов</t>
  </si>
  <si>
    <t>2.2.1.8.1</t>
  </si>
  <si>
    <t>Уплотнение сгонов с применением льняной пряди или асбестового шнура (без разборки сгонов) диаметром до 20 мм</t>
  </si>
  <si>
    <t>1 сгон</t>
  </si>
  <si>
    <t>2.2.2</t>
  </si>
  <si>
    <t>Ремонт, замена, проверка приборов учета воды</t>
  </si>
  <si>
    <t>2.2.2.1</t>
  </si>
  <si>
    <t>Ремонт приборов учета воды</t>
  </si>
  <si>
    <t>2.2.2.1.2</t>
  </si>
  <si>
    <t>Ремонт приборов учета воды условным диаметром 25-40 мм</t>
  </si>
  <si>
    <t>Счетчик воды</t>
  </si>
  <si>
    <t>2.2.2.1.4</t>
  </si>
  <si>
    <t>Замена термопреобразователя</t>
  </si>
  <si>
    <t>1 преобразователь</t>
  </si>
  <si>
    <t>2.2.2.1.5</t>
  </si>
  <si>
    <t xml:space="preserve">Замена преобразователя давления </t>
  </si>
  <si>
    <t>2.2.2.1.6</t>
  </si>
  <si>
    <t>Обслуживание преобразователя давления</t>
  </si>
  <si>
    <t>1  преобразователь давления</t>
  </si>
  <si>
    <t>2.2.2.1.7</t>
  </si>
  <si>
    <t>Обслуживание термопреобразователя</t>
  </si>
  <si>
    <t>1  термопреобразователь</t>
  </si>
  <si>
    <t>2.2.2.1.8</t>
  </si>
  <si>
    <t>Обслуживание преобразователя расхода до 50 мм</t>
  </si>
  <si>
    <t>1 преобразователь расхода</t>
  </si>
  <si>
    <t>2.2.2.2</t>
  </si>
  <si>
    <t>Замена прибора учета воды</t>
  </si>
  <si>
    <t>2.2.2.2.1</t>
  </si>
  <si>
    <t>Замена прибора учета воды с фильтром</t>
  </si>
  <si>
    <t>2.3</t>
  </si>
  <si>
    <t>Система водоотведения</t>
  </si>
  <si>
    <t>2.3.1</t>
  </si>
  <si>
    <t>Смена отдельных участков трубопроводов канализации из полиэтиленовых труб высокой плотности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</si>
  <si>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</si>
  <si>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</si>
  <si>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</si>
  <si>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</si>
  <si>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2.3.2</t>
  </si>
  <si>
    <t>Смена отдельных участков внутренних чугунных канализационных труб и выпусков</t>
  </si>
  <si>
    <t>2.3.2.2</t>
  </si>
  <si>
    <t>Смена отдельных участков чугунных труб и  внутренних чугунных канализационных выпусков при диаметре канализационного выпуска 100 мм</t>
  </si>
  <si>
    <t>2.3.3</t>
  </si>
  <si>
    <t>Подчеканка раструбов канализационных труб</t>
  </si>
  <si>
    <t>2.3.3.3</t>
  </si>
  <si>
    <t>Подчеканка раструбов чугунных канализационных труб</t>
  </si>
  <si>
    <t>2.3.3.3.3</t>
  </si>
  <si>
    <t>Подчеканка раструбов  чугунных  канализационных труб диаметром до 100 мм</t>
  </si>
  <si>
    <t>100  раструбов</t>
  </si>
  <si>
    <t>2.5</t>
  </si>
  <si>
    <t>Внутридомовое электро-, радио- и телеоборудование</t>
  </si>
  <si>
    <t>2.5.1</t>
  </si>
  <si>
    <t>Ремонт,  замена  шкафов  вводных и  вводно-распределительных устройств</t>
  </si>
  <si>
    <t>2.5.1.1</t>
  </si>
  <si>
    <t>Замена пакетных переключателей вводно-распределительных устройств и шкафов</t>
  </si>
  <si>
    <t>1 переключатель</t>
  </si>
  <si>
    <t>2.5.1.2</t>
  </si>
  <si>
    <t>Замена автоматического выключателя</t>
  </si>
  <si>
    <t>1 автоматический выключатель</t>
  </si>
  <si>
    <t>2.5.1.4</t>
  </si>
  <si>
    <t>Замена предохранителя</t>
  </si>
  <si>
    <t>1 предохранитель</t>
  </si>
  <si>
    <t>2.5.1.5</t>
  </si>
  <si>
    <t>Замена рубильника</t>
  </si>
  <si>
    <t>1 рубильник</t>
  </si>
  <si>
    <t>2.5.1.11</t>
  </si>
  <si>
    <t>Замена шкафов и ВРУ</t>
  </si>
  <si>
    <t>1 шкаф</t>
  </si>
  <si>
    <t>2.5.4</t>
  </si>
  <si>
    <t>Ремонт, замена  внутридомовых электрических сетей</t>
  </si>
  <si>
    <t>1000 пог.м.</t>
  </si>
  <si>
    <t>2.5.5</t>
  </si>
  <si>
    <t>Ремонт, замена этажных  щитков и  шкафов</t>
  </si>
  <si>
    <t>2.5.5.2</t>
  </si>
  <si>
    <t>Ремонт щитков</t>
  </si>
  <si>
    <t>1 щит</t>
  </si>
  <si>
    <t>2.5.6</t>
  </si>
  <si>
    <t>Ремонт,  замена  приборов  учета и регулирования общего   пользования</t>
  </si>
  <si>
    <t>2.5.6.5</t>
  </si>
  <si>
    <t>Установка или снятие трехфазного счетчика электроэнергии, включенного через измерительные трансформаторы тока</t>
  </si>
  <si>
    <t>1 счетчик</t>
  </si>
  <si>
    <t>2.5.6.7</t>
  </si>
  <si>
    <t>Замена трехфазного счетчика (прибора учета) электрической энергии, включенного через измерительные трансформаторы тока</t>
  </si>
  <si>
    <t>2.5.6.9</t>
  </si>
  <si>
    <t>Обслуживание трехфазных счетчиков электроэнергии</t>
  </si>
  <si>
    <t>100 счетчиков</t>
  </si>
  <si>
    <t>2.5.7</t>
  </si>
  <si>
    <t>Ремонт,  замена  осветительных установок  помещений   общего  пользования</t>
  </si>
  <si>
    <t>2.5.7.6</t>
  </si>
  <si>
    <t>Замена лампы накаливания на энергосберегательную</t>
  </si>
  <si>
    <t>1 лампа</t>
  </si>
  <si>
    <t>2.6</t>
  </si>
  <si>
    <t>Подготовка многоквартирного дома к сезонной эксплуатации, проведение технических осмотров</t>
  </si>
  <si>
    <t>2.6.3</t>
  </si>
  <si>
    <t>Замена разбитых стекол окон и дверей в помещениях общего пользования</t>
  </si>
  <si>
    <t>2.6.3.5</t>
  </si>
  <si>
    <t>Смена стекол на штапиках без замазки</t>
  </si>
  <si>
    <t>100 м фальца</t>
  </si>
  <si>
    <t>2.6.5</t>
  </si>
  <si>
    <t>Утепление и прочистка дымовентиляционных каналов</t>
  </si>
  <si>
    <t>1000 кв.м. общей площади</t>
  </si>
  <si>
    <t>2.6.6</t>
  </si>
  <si>
    <t>Проверка состояния и ремонт продухов в цоколях зданий</t>
  </si>
  <si>
    <t>2.6.6.1</t>
  </si>
  <si>
    <t>Оштукатуривание продухов</t>
  </si>
  <si>
    <t xml:space="preserve">  1 м2 ремонтируемой поверхности</t>
  </si>
  <si>
    <t>2.6.8</t>
  </si>
  <si>
    <t>Проведение технических осмотров и мелкий ремонт стен, полов, перекрытий</t>
  </si>
  <si>
    <t>2.6.8.8</t>
  </si>
  <si>
    <t>Осмотр внутренней отделки стен</t>
  </si>
  <si>
    <t>2.6.8.9</t>
  </si>
  <si>
    <t>Осмотр заполнения дверных и оконных проемов</t>
  </si>
  <si>
    <t>2.6.11</t>
  </si>
  <si>
    <t>Проведение технических осмотров и устранение незначительных неисправностей в  системах водоснабжения и  водоотведения</t>
  </si>
  <si>
    <t>2.6.11.1</t>
  </si>
  <si>
    <t>Осмотр водопровода, канализации и горячего водоснабжения</t>
  </si>
  <si>
    <t>100 квартир</t>
  </si>
  <si>
    <t>2.6.11.3</t>
  </si>
  <si>
    <t>Прочистка канализационного лежака</t>
  </si>
  <si>
    <t>100 м канализационного лежака</t>
  </si>
  <si>
    <t>2.6.11.4</t>
  </si>
  <si>
    <t>Проверка исправности  канализационных  вытяжек</t>
  </si>
  <si>
    <t>2.6.13</t>
  </si>
  <si>
    <t>Проведение технических осмотров и устранение незначительных неисправностей в   электротехнических устройствах</t>
  </si>
  <si>
    <t>2.6.13.1</t>
  </si>
  <si>
    <t>Осмотр  электросети, арматуры, электрооборудования на лестничных клетках</t>
  </si>
  <si>
    <t>100 лестничных площадок</t>
  </si>
  <si>
    <t>2.6.13.3</t>
  </si>
  <si>
    <t>Проверка изоляции электропроводки и ее укрепление</t>
  </si>
  <si>
    <t>2.6.13.5</t>
  </si>
  <si>
    <t>Замеры сопротивления изоляции проводов</t>
  </si>
  <si>
    <t xml:space="preserve">измерение 1         </t>
  </si>
  <si>
    <t>2.6.14</t>
  </si>
  <si>
    <t>Проведение технических осмотров и устранение незначительных неисправностей в  системе   теплоснабжения</t>
  </si>
  <si>
    <t>2.6.14.1</t>
  </si>
  <si>
    <t>Осмотр системы центрального отопления</t>
  </si>
  <si>
    <t>2.6.14.1.1</t>
  </si>
  <si>
    <t>Осмотр внутриквартирных устройств системы центрального отопления</t>
  </si>
  <si>
    <t>2.6.14.1.2</t>
  </si>
  <si>
    <t>Осмотр устройства системы центрального отопления в чердачных и подвальных помещениях</t>
  </si>
  <si>
    <t>1000 м2 осматриваемых помещений</t>
  </si>
  <si>
    <t>2.6.14.2</t>
  </si>
  <si>
    <t>Регулировка и наладка систем отопления</t>
  </si>
  <si>
    <t>1 здание</t>
  </si>
  <si>
    <t>2.6.14.3</t>
  </si>
  <si>
    <t>Гидравлическое испытание трубопроводов систем центрального отопления (расконсервация)</t>
  </si>
  <si>
    <t>2.6.14.3.5</t>
  </si>
  <si>
    <t>Рабочая проверка системы в целом при диаметре трубопровода до 100 мм</t>
  </si>
  <si>
    <t>2.6.14.4</t>
  </si>
  <si>
    <t>Промывка трубопроводов системы центрального отопления</t>
  </si>
  <si>
    <t>2.6.14.4.1</t>
  </si>
  <si>
    <t>Промывка трубопроводов системы центрального отопления до 50 мм</t>
  </si>
  <si>
    <t>10 м трубопровода (100 м3 здания)</t>
  </si>
  <si>
    <t>2.6.14.5</t>
  </si>
  <si>
    <t>Устранение незначительных неисправностей в  системе   теплоснабжения</t>
  </si>
  <si>
    <t>2.6.14.5.1</t>
  </si>
  <si>
    <t>Притирка запорной арматуры без снятия с места</t>
  </si>
  <si>
    <t>2.6.14.5.1.5</t>
  </si>
  <si>
    <t>Притирка клапана вентиля диаметром 26-32 мм без снятия с места</t>
  </si>
  <si>
    <t>2.6.14.5.3</t>
  </si>
  <si>
    <t>Вывертывание и ввертывание радиаторной пробки</t>
  </si>
  <si>
    <t>100 пробок</t>
  </si>
  <si>
    <t>2.6.14.5.5</t>
  </si>
  <si>
    <t>Ликвидация воздушных пробок в системе отопления</t>
  </si>
  <si>
    <t>2.6.14.5.5.1</t>
  </si>
  <si>
    <t>Ликвидация воздушных пробок в стояке системы отопления</t>
  </si>
  <si>
    <t>100 стояков</t>
  </si>
  <si>
    <t>2.6.14.5.5.2</t>
  </si>
  <si>
    <t>Ликвидация воздушных пробок в радиаторном блоке</t>
  </si>
  <si>
    <t>2.6.14.5.6</t>
  </si>
  <si>
    <t>Ремонт кранов регулировки у радиаторных блоков</t>
  </si>
  <si>
    <t>2.6.15</t>
  </si>
  <si>
    <t>Проверка и ремонт коллективных приборов  учета</t>
  </si>
  <si>
    <t>2.6.15.1</t>
  </si>
  <si>
    <t>Проверка и обслуживание приборов учета воды диаметром 25-40 мм</t>
  </si>
  <si>
    <t>2.6.15.1.1</t>
  </si>
  <si>
    <t>Визуальный осмотр узла учета и проверка наличия и нарушения пломб (прибор учета воды диаметром 25-40 мм)</t>
  </si>
  <si>
    <t>1 прибор учета</t>
  </si>
  <si>
    <t>2.6.15.1.2</t>
  </si>
  <si>
    <t>Снятие и запись показаний с вычислителя в журнал (прибор учета воды диаметром 25-40 мм)</t>
  </si>
  <si>
    <t>2.6.15.1.4</t>
  </si>
  <si>
    <t>Проверка работоспособности запорной арматуры и очистка фильтров (приборов учета воды диаметром 25-40 мм)</t>
  </si>
  <si>
    <t>1 фильтр</t>
  </si>
  <si>
    <t>2.6.15.1.6</t>
  </si>
  <si>
    <t>Запуск воды с общего вентиля к счетчику (приборов учета воды диаметром 25-40 мм)</t>
  </si>
  <si>
    <t>2.6.15.1.8</t>
  </si>
  <si>
    <t>Проверка работоспособности водозапорной арматуры приборов учета воды диаметром 25-40 мм</t>
  </si>
  <si>
    <t>2.6.15.4</t>
  </si>
  <si>
    <t>Проверка и обслуживание коллективных узлов учета тепловой энергии диаметром 50-250 мм</t>
  </si>
  <si>
    <t>2.6.15.4.1</t>
  </si>
  <si>
    <t>Визуальный осмотр и проверка наличия и нарушения пломб (узел учета тепловой энергии диаметром 50-250 мм)</t>
  </si>
  <si>
    <t>1 узел учета</t>
  </si>
  <si>
    <t>2.6.15.4.2</t>
  </si>
  <si>
    <t>Снятие и запись показаний с вычислителя в журнал (узел учета тепловой энергии диаметром 50-250 мм)</t>
  </si>
  <si>
    <t>2.6.15.4.4</t>
  </si>
  <si>
    <t>Проверка работоспособности запорной арматуры и очистка фильтра (узел учета тепловой энергии диаметром 50-250 мм)</t>
  </si>
  <si>
    <t>2.6.15.4.6</t>
  </si>
  <si>
    <t>Запуск воды с общего вентиля к счетчику (узел учета тепловой энергии диаметром 50-250 мм)</t>
  </si>
  <si>
    <t>2.6.15.4.7</t>
  </si>
  <si>
    <t>При отказе или неисправной работе теплосчетчика - поиск неисправностей (узел учета тепловой энергии диаметром 50-250 мм)</t>
  </si>
  <si>
    <t>2.6.15.4.8</t>
  </si>
  <si>
    <t>Выборочная метрологическая поверка теплосчетчиков</t>
  </si>
  <si>
    <t>2.6.15.4.8.1</t>
  </si>
  <si>
    <t>Проверка работоспособности водозапорной арматуры (выборочная метрологическая поверка теплосчетчиков диаметром 50-250 мм)</t>
  </si>
  <si>
    <t>2.6.15.4.8.2</t>
  </si>
  <si>
    <t>Профилактические работы (выборочная метрологическая поверка теплосчетчиков диаметром 50-250 мм)</t>
  </si>
  <si>
    <t>2.6.15.4.8.3</t>
  </si>
  <si>
    <t>Поверка (настройка) тепловычислителя (выборочная метрологическая поверка теплосчетчиков диаметром 50-250 мм)</t>
  </si>
  <si>
    <t>2.6.15.4.8.4</t>
  </si>
  <si>
    <t>Съем данных с тепловычислителя с помощью переносного компьютера, адаптера (выборочная метрологическая поверка теплосчетчиков диаметром 50-250 мм)</t>
  </si>
  <si>
    <t>2.6.15.4.8.5</t>
  </si>
  <si>
    <t>Обсчет данных, оформление справок, распечатка архивов данных (выборочная метрологическая поверка теплосчетчиков диаметром 50-250 мм)</t>
  </si>
  <si>
    <t>2.6.15.5</t>
  </si>
  <si>
    <t>Установка и снятие (монтаж, демонтаж) прибора учета тепловой энергии</t>
  </si>
  <si>
    <t>2.6.15.5.1</t>
  </si>
  <si>
    <t>Снятие (демонтаж) прибора учета тепловой энергии, диаметром до 50 мм</t>
  </si>
  <si>
    <t>2.6.15.5.2</t>
  </si>
  <si>
    <t>Установка (монтаж) прибора учета тепловой энергии, диаметром до 50 мм</t>
  </si>
  <si>
    <t>2.7</t>
  </si>
  <si>
    <t>Устранение аварии и выполнение заявок населения</t>
  </si>
  <si>
    <t>2.7.1</t>
  </si>
  <si>
    <t>Устранение аварии на внутридомовых инженерных сетях и выполнение заявок населения (в домах, оборудованных газовыми плитами)</t>
  </si>
  <si>
    <t>2.7.1.4</t>
  </si>
  <si>
    <t>Устранение аварии на внутридомовых инженерных сетях при сроке эксплуатации многоквартирного дома от 51 до 70 лет</t>
  </si>
  <si>
    <t>1000 м2  общей площади жилых помещений, оборудованных газовыми плитами (в год для одной смены)</t>
  </si>
  <si>
    <t>3.2</t>
  </si>
  <si>
    <t>Уборка земельного участка, входящего в состав общего имущества многоквартирного дома</t>
  </si>
  <si>
    <t>3.2.1</t>
  </si>
  <si>
    <t>Подметание  земельного  участка в летний период</t>
  </si>
  <si>
    <t>на 100 кв.м.</t>
  </si>
  <si>
    <t>3.2.8</t>
  </si>
  <si>
    <t>Ликвидация наледи</t>
  </si>
  <si>
    <t>3.2.8.13</t>
  </si>
  <si>
    <t>Очистка от наледи и льда водосточных труб</t>
  </si>
  <si>
    <t>1 шт</t>
  </si>
  <si>
    <t>3.2.9</t>
  </si>
  <si>
    <t>Очистка кровли</t>
  </si>
  <si>
    <t>3.2.9.2</t>
  </si>
  <si>
    <t>Очистка кровли от снега, сбивание сосулек (при толщине слоя до 20 см)</t>
  </si>
  <si>
    <t>100 кв.м. кровли</t>
  </si>
  <si>
    <t>3.2.9.3</t>
  </si>
  <si>
    <t>Очистка кровли от снега, сбивание сосулек (при толщине слоя более 20 см добавлять на каждые следующие 10 см)</t>
  </si>
  <si>
    <t>3.2.9.4</t>
  </si>
  <si>
    <t>Очистка кровли от мусора, листьев</t>
  </si>
  <si>
    <t>100 кв.м кровли</t>
  </si>
  <si>
    <t>1 м3</t>
  </si>
  <si>
    <t>3.2.14</t>
  </si>
  <si>
    <t>Очистка контейнерной площадки в холодный период</t>
  </si>
  <si>
    <t>3.2.15</t>
  </si>
  <si>
    <t>Уборка мусора на  контейнерных  площадках</t>
  </si>
  <si>
    <t>3.2.16</t>
  </si>
  <si>
    <t>Погрузка мусора на автотранспорт вручную</t>
  </si>
  <si>
    <t>100 куб.м</t>
  </si>
  <si>
    <t>3.2.18</t>
  </si>
  <si>
    <t>Перекидывание снега и скола</t>
  </si>
  <si>
    <t>ИТОГО:</t>
  </si>
  <si>
    <t>Стоимость на кв.м. в мес., руб.</t>
  </si>
  <si>
    <t>1.10 МКД с уборкой придомовой территории, отопление, ГВС, ХПВ, водоотведение, э.энергия, электроплиты, без газа . Квартирного типа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</si>
</sst>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11">
    <font>
      <sz val="11"/>
      <color theme="1"/>
      <name val="Calibri"/>
      <family val="2"/>
      <scheme val="minor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8"/>
      <color rgb="FF000099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70707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546E7A"/>
      </patternFill>
    </fill>
    <fill>
      <patternFill patternType="solid">
        <fgColor rgb="FFDCE6F1"/>
      </patternFill>
    </fill>
    <fill>
      <patternFill patternType="solid">
        <fgColor rgb="FFF2F2F2"/>
      </patternFill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</fills>
  <borders count="18">
    <border>
      <left/>
      <right/>
      <top/>
      <bottom/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4" fillId="2" borderId="1" xfId="0" applyFont="1" applyFill="1" applyBorder="1" applyAlignment="1">
      <alignment horizontal="center" vertical="center" wrapText="1" indent="1"/>
    </xf>
    <xf numFmtId="49" fontId="4" fillId="2" borderId="2" xfId="0" applyNumberFormat="1" applyFont="1" applyFill="1" applyBorder="1" applyAlignment="1">
      <alignment horizontal="center" vertical="center" wrapText="1" indent="1"/>
    </xf>
    <xf numFmtId="0" fontId="4" fillId="2" borderId="2" xfId="0" applyFont="1" applyFill="1" applyBorder="1" applyAlignment="1">
      <alignment horizontal="center" vertical="center" wrapText="1" indent="1"/>
    </xf>
    <xf numFmtId="164" fontId="4" fillId="2" borderId="2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7" fillId="3" borderId="6" xfId="0" applyFont="1" applyFill="1" applyBorder="1" applyAlignment="1">
      <alignment horizontal="center" vertical="top" wrapText="1" indent="1"/>
    </xf>
    <xf numFmtId="49" fontId="7" fillId="3" borderId="7" xfId="0" applyNumberFormat="1" applyFont="1" applyFill="1" applyBorder="1" applyAlignment="1">
      <alignment horizontal="left" vertical="top" wrapText="1" indent="1"/>
    </xf>
    <xf numFmtId="0" fontId="8" fillId="0" borderId="0" xfId="0" applyFont="1"/>
    <xf numFmtId="0" fontId="8" fillId="4" borderId="6" xfId="0" applyFont="1" applyFill="1" applyBorder="1" applyAlignment="1">
      <alignment horizontal="center" vertical="top" wrapText="1" indent="1"/>
    </xf>
    <xf numFmtId="49" fontId="8" fillId="4" borderId="7" xfId="0" applyNumberFormat="1" applyFont="1" applyFill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 wrapText="1" indent="1"/>
    </xf>
    <xf numFmtId="49" fontId="2" fillId="0" borderId="7" xfId="0" applyNumberFormat="1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right" vertical="top" indent="1"/>
    </xf>
    <xf numFmtId="0" fontId="3" fillId="6" borderId="7" xfId="0" applyFont="1" applyFill="1" applyBorder="1" applyAlignment="1">
      <alignment horizontal="right" vertical="top" indent="1"/>
    </xf>
    <xf numFmtId="164" fontId="2" fillId="0" borderId="7" xfId="0" applyNumberFormat="1" applyFont="1" applyBorder="1" applyAlignment="1">
      <alignment horizontal="right" vertical="top" indent="1"/>
    </xf>
    <xf numFmtId="0" fontId="9" fillId="0" borderId="0" xfId="0" applyFont="1" applyAlignment="1">
      <alignment horizontal="right" vertical="center" wrapText="1" indent="1"/>
    </xf>
    <xf numFmtId="164" fontId="9" fillId="2" borderId="2" xfId="0" applyNumberFormat="1" applyFont="1" applyFill="1" applyBorder="1" applyAlignment="1">
      <alignment horizontal="right" vertical="center" wrapText="1" indent="1"/>
    </xf>
    <xf numFmtId="164" fontId="9" fillId="2" borderId="3" xfId="0" applyNumberFormat="1" applyFont="1" applyFill="1" applyBorder="1" applyAlignment="1">
      <alignment horizontal="right" vertical="center" wrapText="1" indent="1"/>
    </xf>
    <xf numFmtId="164" fontId="2" fillId="7" borderId="9" xfId="0" applyNumberFormat="1" applyFont="1" applyFill="1" applyBorder="1" applyAlignment="1">
      <alignment horizontal="right" vertical="top" indent="1"/>
    </xf>
    <xf numFmtId="164" fontId="4" fillId="2" borderId="10" xfId="0" applyNumberFormat="1" applyFont="1" applyFill="1" applyBorder="1" applyAlignment="1">
      <alignment horizontal="center" vertical="center" wrapText="1" indent="1"/>
    </xf>
    <xf numFmtId="164" fontId="6" fillId="0" borderId="5" xfId="0" applyNumberFormat="1" applyFont="1" applyBorder="1" applyAlignment="1">
      <alignment horizontal="left" indent="1"/>
    </xf>
    <xf numFmtId="164" fontId="9" fillId="2" borderId="11" xfId="0" applyNumberFormat="1" applyFont="1" applyFill="1" applyBorder="1" applyAlignment="1">
      <alignment horizontal="right" vertical="center" wrapText="1" indent="1"/>
    </xf>
    <xf numFmtId="0" fontId="6" fillId="0" borderId="12" xfId="0" applyFont="1" applyBorder="1" applyAlignment="1">
      <alignment horizontal="left" indent="1"/>
    </xf>
    <xf numFmtId="164" fontId="6" fillId="0" borderId="12" xfId="0" applyNumberFormat="1" applyFont="1" applyBorder="1" applyAlignment="1">
      <alignment horizontal="left" indent="1"/>
    </xf>
    <xf numFmtId="0" fontId="8" fillId="4" borderId="13" xfId="0" applyFont="1" applyFill="1" applyBorder="1" applyAlignment="1">
      <alignment indent="1"/>
    </xf>
    <xf numFmtId="164" fontId="2" fillId="7" borderId="13" xfId="0" applyNumberFormat="1" applyFont="1" applyFill="1" applyBorder="1" applyAlignment="1">
      <alignment horizontal="right" vertical="top" indent="1"/>
    </xf>
    <xf numFmtId="164" fontId="2" fillId="7" borderId="17" xfId="0" applyNumberFormat="1" applyFont="1" applyFill="1" applyBorder="1" applyAlignment="1">
      <alignment horizontal="right" vertical="top" indent="1"/>
    </xf>
    <xf numFmtId="0" fontId="7" fillId="3" borderId="16" xfId="0" applyFont="1" applyFill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left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164" fontId="6" fillId="0" borderId="4" xfId="0" applyNumberFormat="1" applyFont="1" applyBorder="1" applyAlignment="1">
      <alignment horizontal="right" indent="1"/>
    </xf>
    <xf numFmtId="164" fontId="6" fillId="0" borderId="5" xfId="0" applyNumberFormat="1" applyFont="1" applyBorder="1" applyAlignment="1">
      <alignment horizontal="right" indent="1"/>
    </xf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indent="1"/>
    </xf>
    <xf numFmtId="0" fontId="8" fillId="4" borderId="9" xfId="0" applyFont="1" applyFill="1" applyBorder="1" applyAlignment="1">
      <alignment indent="1"/>
    </xf>
    <xf numFmtId="0" fontId="8" fillId="4" borderId="8" xfId="0" applyFont="1" applyFill="1" applyBorder="1" applyAlignment="1">
      <alignment indent="2"/>
    </xf>
    <xf numFmtId="0" fontId="8" fillId="4" borderId="9" xfId="0" applyFont="1" applyFill="1" applyBorder="1" applyAlignment="1">
      <alignment indent="2"/>
    </xf>
    <xf numFmtId="0" fontId="8" fillId="4" borderId="8" xfId="0" applyFont="1" applyFill="1" applyBorder="1" applyAlignment="1">
      <alignment indent="3"/>
    </xf>
    <xf numFmtId="0" fontId="8" fillId="4" borderId="9" xfId="0" applyFont="1" applyFill="1" applyBorder="1" applyAlignment="1">
      <alignment indent="3"/>
    </xf>
    <xf numFmtId="0" fontId="10" fillId="2" borderId="1" xfId="0" applyFont="1" applyFill="1" applyBorder="1" applyAlignment="1">
      <alignment horizontal="righ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8"/>
  <sheetViews>
    <sheetView tabSelected="1" workbookViewId="0">
      <pane ySplit="1" topLeftCell="A197" activePane="bottomLeft" state="frozen"/>
      <selection pane="bottomLeft" activeCell="S193" sqref="S193"/>
    </sheetView>
  </sheetViews>
  <sheetFormatPr defaultRowHeight="15.75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3" width="14" style="5" customWidth="1"/>
    <col min="14" max="15" width="16" style="5" customWidth="1"/>
    <col min="16" max="16" width="12.85546875" bestFit="1" customWidth="1"/>
  </cols>
  <sheetData>
    <row r="1" spans="1:15" s="6" customFormat="1" ht="39.950000000000003" customHeight="1" thickTop="1" thickBot="1">
      <c r="A1" s="6" t="s">
        <v>0</v>
      </c>
      <c r="B1" s="7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27" t="s">
        <v>13</v>
      </c>
      <c r="O1" s="27" t="s">
        <v>528</v>
      </c>
    </row>
    <row r="2" spans="1:15" thickTop="1">
      <c r="A2" t="s">
        <v>0</v>
      </c>
      <c r="B2" s="37" t="s">
        <v>529</v>
      </c>
      <c r="C2" s="38"/>
      <c r="D2" s="38"/>
      <c r="E2" s="38"/>
      <c r="F2" s="38"/>
      <c r="G2" s="38"/>
      <c r="H2" s="38"/>
      <c r="I2" s="38"/>
      <c r="J2" s="38"/>
      <c r="K2" s="38"/>
      <c r="L2" s="41" t="s">
        <v>14</v>
      </c>
      <c r="M2" s="41"/>
      <c r="N2" s="36">
        <v>45575</v>
      </c>
      <c r="O2" s="30"/>
    </row>
    <row r="3" spans="1:15" ht="42.75" customHeight="1" thickBot="1">
      <c r="B3" s="39"/>
      <c r="C3" s="40"/>
      <c r="D3" s="40"/>
      <c r="E3" s="40"/>
      <c r="F3" s="40"/>
      <c r="G3" s="40"/>
      <c r="H3" s="40"/>
      <c r="I3" s="40"/>
      <c r="J3" s="40"/>
      <c r="K3" s="40"/>
      <c r="L3" s="42" t="s">
        <v>15</v>
      </c>
      <c r="M3" s="42"/>
      <c r="N3" s="28">
        <v>265</v>
      </c>
      <c r="O3" s="31"/>
    </row>
    <row r="4" spans="1:15" s="11" customFormat="1" thickTop="1">
      <c r="B4" s="12"/>
      <c r="C4" s="13" t="s">
        <v>16</v>
      </c>
      <c r="D4" s="43" t="s">
        <v>17</v>
      </c>
      <c r="E4" s="43"/>
      <c r="F4" s="43"/>
      <c r="G4" s="43"/>
      <c r="H4" s="43"/>
      <c r="I4" s="43"/>
      <c r="J4" s="43"/>
      <c r="K4" s="43"/>
      <c r="L4" s="43"/>
      <c r="M4" s="43"/>
      <c r="N4" s="44"/>
      <c r="O4" s="35"/>
    </row>
    <row r="5" spans="1:15" s="14" customFormat="1" ht="12.75">
      <c r="B5" s="15"/>
      <c r="C5" s="16" t="s">
        <v>18</v>
      </c>
      <c r="D5" s="45" t="s">
        <v>19</v>
      </c>
      <c r="E5" s="45"/>
      <c r="F5" s="45"/>
      <c r="G5" s="45"/>
      <c r="H5" s="45"/>
      <c r="I5" s="45"/>
      <c r="J5" s="45"/>
      <c r="K5" s="45"/>
      <c r="L5" s="45"/>
      <c r="M5" s="45"/>
      <c r="N5" s="46"/>
      <c r="O5" s="32"/>
    </row>
    <row r="6" spans="1:15" ht="25.5">
      <c r="B6" s="17">
        <v>1</v>
      </c>
      <c r="C6" s="18" t="s">
        <v>20</v>
      </c>
      <c r="D6" s="19" t="s">
        <v>21</v>
      </c>
      <c r="E6" s="19" t="s">
        <v>22</v>
      </c>
      <c r="F6" s="20">
        <v>1</v>
      </c>
      <c r="G6" s="21">
        <v>0.1</v>
      </c>
      <c r="H6" s="22">
        <f>F6 * G6 * 1414.711751</f>
        <v>141.47117510000001</v>
      </c>
      <c r="I6" s="22">
        <f>F6 * G6 * 4133.305751</f>
        <v>413.33057510000003</v>
      </c>
      <c r="J6" s="22">
        <f>F6 * G6 * 33.78584</f>
        <v>3.378584</v>
      </c>
      <c r="K6" s="22">
        <f>F6 * G6 * 1346.805587</f>
        <v>134.68055870000001</v>
      </c>
      <c r="L6" s="22">
        <f>F6 * G6 * 760.81866</f>
        <v>76.081866000000005</v>
      </c>
      <c r="M6" s="22">
        <f>F6 * G6 * 282.94235</f>
        <v>28.294235</v>
      </c>
      <c r="N6" s="26">
        <f>SUM(H6:M6)</f>
        <v>797.23699390000002</v>
      </c>
      <c r="O6" s="33">
        <v>0.25070345720125786</v>
      </c>
    </row>
    <row r="7" spans="1:15" ht="25.5">
      <c r="B7" s="17">
        <v>2</v>
      </c>
      <c r="C7" s="18" t="s">
        <v>23</v>
      </c>
      <c r="D7" s="19" t="s">
        <v>24</v>
      </c>
      <c r="E7" s="19" t="s">
        <v>25</v>
      </c>
      <c r="F7" s="20">
        <v>5.0000000000000001E-3</v>
      </c>
      <c r="G7" s="21">
        <v>0.2</v>
      </c>
      <c r="H7" s="22">
        <f>F7 * G7 * 10354.856537</f>
        <v>10.354856537</v>
      </c>
      <c r="I7" s="22">
        <f>F7 * G7 * 127571.28611</f>
        <v>127.57128611</v>
      </c>
      <c r="J7" s="22">
        <f>F7 * G7 * 0</f>
        <v>0</v>
      </c>
      <c r="K7" s="22">
        <f>F7 * G7 * 9857.823423</f>
        <v>9.8578234229999993</v>
      </c>
      <c r="L7" s="22">
        <f>F7 * G7 * 15809.695893</f>
        <v>15.809695893000001</v>
      </c>
      <c r="M7" s="22">
        <f>F7 * G7 * 2070.971307</f>
        <v>2.0709713069999998</v>
      </c>
      <c r="N7" s="26">
        <f>SUM(H7:M7)</f>
        <v>165.66463327000002</v>
      </c>
      <c r="O7" s="33">
        <v>5.2095796625786173E-2</v>
      </c>
    </row>
    <row r="8" spans="1:15">
      <c r="B8" s="17">
        <v>3</v>
      </c>
      <c r="C8" s="18" t="s">
        <v>26</v>
      </c>
      <c r="D8" s="19" t="s">
        <v>27</v>
      </c>
      <c r="E8" s="19" t="s">
        <v>28</v>
      </c>
      <c r="F8" s="20">
        <v>0.06</v>
      </c>
      <c r="G8" s="21">
        <v>0.1</v>
      </c>
      <c r="H8" s="22">
        <f>F8 * G8 * 8311.298654</f>
        <v>49.867791924000002</v>
      </c>
      <c r="I8" s="22">
        <f>F8 * G8 * 67892.886109</f>
        <v>407.35731665399999</v>
      </c>
      <c r="J8" s="22">
        <f>F8 * G8 * 0</f>
        <v>0</v>
      </c>
      <c r="K8" s="22">
        <f>F8 * G8 * 7912.35631899999</f>
        <v>47.474137913999947</v>
      </c>
      <c r="L8" s="22">
        <f>F8 * G8 * 9049.663486</f>
        <v>54.297980916</v>
      </c>
      <c r="M8" s="22">
        <f>F8 * G8 * 1662.259731</f>
        <v>9.9735583860000006</v>
      </c>
      <c r="N8" s="26">
        <f>SUM(H8:M8)</f>
        <v>568.97078579399999</v>
      </c>
      <c r="O8" s="33">
        <v>0.17892163075283019</v>
      </c>
    </row>
    <row r="9" spans="1:15" ht="38.25">
      <c r="B9" s="17">
        <v>4</v>
      </c>
      <c r="C9" s="18" t="s">
        <v>29</v>
      </c>
      <c r="D9" s="19" t="s">
        <v>30</v>
      </c>
      <c r="E9" s="19" t="s">
        <v>31</v>
      </c>
      <c r="F9" s="20">
        <v>0.02</v>
      </c>
      <c r="G9" s="21">
        <v>0.1</v>
      </c>
      <c r="H9" s="22">
        <f>F9 * G9 * 14448.376354</f>
        <v>28.896752708000001</v>
      </c>
      <c r="I9" s="22">
        <f>F9 * G9 * 20500.196424</f>
        <v>41.000392848000004</v>
      </c>
      <c r="J9" s="22">
        <f>F9 * G9 * 0</f>
        <v>0</v>
      </c>
      <c r="K9" s="22">
        <f>F9 * G9 * 13754.8542889999</f>
        <v>27.509708577999803</v>
      </c>
      <c r="L9" s="22">
        <f>F9 * G9 * 5443.072297</f>
        <v>10.886144593999999</v>
      </c>
      <c r="M9" s="22">
        <f>F9 * G9 * 2889.675271</f>
        <v>5.7793505420000004</v>
      </c>
      <c r="N9" s="26">
        <f>SUM(H9:M9)</f>
        <v>114.0723492699998</v>
      </c>
      <c r="O9" s="33">
        <v>3.5871807946540817E-2</v>
      </c>
    </row>
    <row r="10" spans="1:15" s="11" customFormat="1" ht="15">
      <c r="B10" s="12"/>
      <c r="C10" s="13" t="s">
        <v>32</v>
      </c>
      <c r="D10" s="43" t="s">
        <v>33</v>
      </c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33"/>
    </row>
    <row r="11" spans="1:15" s="14" customFormat="1" ht="12.75">
      <c r="B11" s="15"/>
      <c r="C11" s="16" t="s">
        <v>34</v>
      </c>
      <c r="D11" s="45" t="s">
        <v>35</v>
      </c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33"/>
    </row>
    <row r="12" spans="1:15" ht="38.25">
      <c r="B12" s="17">
        <v>5</v>
      </c>
      <c r="C12" s="18" t="s">
        <v>36</v>
      </c>
      <c r="D12" s="19" t="s">
        <v>37</v>
      </c>
      <c r="E12" s="19" t="s">
        <v>38</v>
      </c>
      <c r="F12" s="20">
        <v>0.01</v>
      </c>
      <c r="G12" s="21">
        <v>0.1</v>
      </c>
      <c r="H12" s="22">
        <f>F12 * G12 * 17986.312544</f>
        <v>17.986312544</v>
      </c>
      <c r="I12" s="22">
        <f>F12 * G12 * 9307.538672</f>
        <v>9.3075386720000015</v>
      </c>
      <c r="J12" s="22">
        <f>F12 * G12 * 2095.70812</f>
        <v>2.0957081199999998</v>
      </c>
      <c r="K12" s="22">
        <f>F12 * G12 * 19032.939434</f>
        <v>19.032939433999999</v>
      </c>
      <c r="L12" s="22">
        <f>F12 * G12 * 5530.417131</f>
        <v>5.5304171310000001</v>
      </c>
      <c r="M12" s="22">
        <f>F12 * G12 * 3998.516688</f>
        <v>3.998516688</v>
      </c>
      <c r="N12" s="26">
        <f>SUM(H12:M12)</f>
        <v>57.951432589000007</v>
      </c>
      <c r="O12" s="33">
        <v>1.822372093993711E-2</v>
      </c>
    </row>
    <row r="13" spans="1:15" s="14" customFormat="1" ht="12.75">
      <c r="B13" s="15"/>
      <c r="C13" s="16" t="s">
        <v>40</v>
      </c>
      <c r="D13" s="45" t="s">
        <v>41</v>
      </c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33"/>
    </row>
    <row r="14" spans="1:15" s="14" customFormat="1" ht="12.75">
      <c r="B14" s="15"/>
      <c r="C14" s="16" t="s">
        <v>42</v>
      </c>
      <c r="D14" s="47" t="s">
        <v>43</v>
      </c>
      <c r="E14" s="47"/>
      <c r="F14" s="47"/>
      <c r="G14" s="47"/>
      <c r="H14" s="47"/>
      <c r="I14" s="47"/>
      <c r="J14" s="47"/>
      <c r="K14" s="47"/>
      <c r="L14" s="47"/>
      <c r="M14" s="47"/>
      <c r="N14" s="48"/>
      <c r="O14" s="33"/>
    </row>
    <row r="15" spans="1:15" ht="25.5">
      <c r="B15" s="17">
        <v>6</v>
      </c>
      <c r="C15" s="18" t="s">
        <v>44</v>
      </c>
      <c r="D15" s="19" t="s">
        <v>45</v>
      </c>
      <c r="E15" s="19" t="s">
        <v>46</v>
      </c>
      <c r="F15" s="20">
        <v>0.104</v>
      </c>
      <c r="G15" s="21">
        <v>0.1</v>
      </c>
      <c r="H15" s="22">
        <f>F15 * G15 * 7981.493766</f>
        <v>83.00753516639999</v>
      </c>
      <c r="I15" s="22">
        <f>F15 * G15 * 3546.412051</f>
        <v>36.882685330399994</v>
      </c>
      <c r="J15" s="22">
        <f>F15 * G15 * 2035.72512</f>
        <v>21.171541248</v>
      </c>
      <c r="K15" s="22">
        <f>F15 * G15 * 7598.382065</f>
        <v>79.023173475999997</v>
      </c>
      <c r="L15" s="22">
        <f>F15 * G15 * 2401.00189</f>
        <v>24.970419655999997</v>
      </c>
      <c r="M15" s="22">
        <f>F15 * G15 * 1596.298753</f>
        <v>16.601507031200001</v>
      </c>
      <c r="N15" s="26">
        <f>SUM(H15:M15)</f>
        <v>261.656861908</v>
      </c>
      <c r="O15" s="33">
        <v>8.2282032046540873E-2</v>
      </c>
    </row>
    <row r="16" spans="1:15" s="14" customFormat="1" ht="12.75">
      <c r="B16" s="15"/>
      <c r="C16" s="16" t="s">
        <v>47</v>
      </c>
      <c r="D16" s="45" t="s">
        <v>48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33"/>
    </row>
    <row r="17" spans="2:15">
      <c r="B17" s="17">
        <v>7</v>
      </c>
      <c r="C17" s="18" t="s">
        <v>49</v>
      </c>
      <c r="D17" s="19" t="s">
        <v>50</v>
      </c>
      <c r="E17" s="19" t="s">
        <v>51</v>
      </c>
      <c r="F17" s="20">
        <v>0.02</v>
      </c>
      <c r="G17" s="21">
        <v>1</v>
      </c>
      <c r="H17" s="22">
        <f>F17 * G17 * 12878.041608</f>
        <v>257.56083216000002</v>
      </c>
      <c r="I17" s="22">
        <f>F17 * G17 * 31632.88681</f>
        <v>632.65773620000004</v>
      </c>
      <c r="J17" s="22">
        <f>F17 * G17 * 0</f>
        <v>0</v>
      </c>
      <c r="K17" s="22">
        <f>F17 * G17 * 12259.895611</f>
        <v>245.19791222000001</v>
      </c>
      <c r="L17" s="22">
        <f>F17 * G17 * 6261.048613</f>
        <v>125.22097226</v>
      </c>
      <c r="M17" s="22">
        <f>F17 * G17 * 2575.608322</f>
        <v>51.512166440000001</v>
      </c>
      <c r="N17" s="26">
        <f>SUM(H17:M17)</f>
        <v>1312.1496192800003</v>
      </c>
      <c r="O17" s="33">
        <v>0.41262566644025167</v>
      </c>
    </row>
    <row r="18" spans="2:15" ht="25.5">
      <c r="B18" s="17">
        <v>8</v>
      </c>
      <c r="C18" s="18" t="s">
        <v>52</v>
      </c>
      <c r="D18" s="19" t="s">
        <v>53</v>
      </c>
      <c r="E18" s="19" t="s">
        <v>54</v>
      </c>
      <c r="F18" s="20">
        <v>0.02</v>
      </c>
      <c r="G18" s="21">
        <v>0.1</v>
      </c>
      <c r="H18" s="22">
        <f>F18 * G18 * 14165.845769</f>
        <v>28.331691538000001</v>
      </c>
      <c r="I18" s="22">
        <f>F18 * G18 * 44094.534941</f>
        <v>88.189069881999998</v>
      </c>
      <c r="J18" s="22">
        <f>F18 * G18 * 0</f>
        <v>0</v>
      </c>
      <c r="K18" s="22">
        <f>F18 * G18 * 13485.885172</f>
        <v>26.971770343999999</v>
      </c>
      <c r="L18" s="22">
        <f>F18 * G18 * 7868.130396</f>
        <v>15.736260791999999</v>
      </c>
      <c r="M18" s="22">
        <f>F18 * G18 * 2833.169154</f>
        <v>5.6663383080000003</v>
      </c>
      <c r="N18" s="26">
        <f>SUM(H18:M18)</f>
        <v>164.89513086400001</v>
      </c>
      <c r="O18" s="33">
        <v>5.1853814737106922E-2</v>
      </c>
    </row>
    <row r="19" spans="2:15" s="14" customFormat="1" ht="12.75">
      <c r="B19" s="15"/>
      <c r="C19" s="16" t="s">
        <v>55</v>
      </c>
      <c r="D19" s="45" t="s">
        <v>56</v>
      </c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33"/>
    </row>
    <row r="20" spans="2:15" s="14" customFormat="1" ht="12.75">
      <c r="B20" s="15"/>
      <c r="C20" s="16" t="s">
        <v>57</v>
      </c>
      <c r="D20" s="47" t="s">
        <v>58</v>
      </c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33"/>
    </row>
    <row r="21" spans="2:15" ht="25.5">
      <c r="B21" s="17">
        <v>9</v>
      </c>
      <c r="C21" s="18" t="s">
        <v>59</v>
      </c>
      <c r="D21" s="19" t="s">
        <v>60</v>
      </c>
      <c r="E21" s="19" t="s">
        <v>61</v>
      </c>
      <c r="F21" s="20">
        <v>0.2</v>
      </c>
      <c r="G21" s="21">
        <v>0.2</v>
      </c>
      <c r="H21" s="22">
        <f>F21 * G21 * 9443.897179</f>
        <v>377.75588716000004</v>
      </c>
      <c r="I21" s="22">
        <f>F21 * G21 * 2258.259862</f>
        <v>90.33039448000001</v>
      </c>
      <c r="J21" s="22">
        <f>F21 * G21 * 0</f>
        <v>0</v>
      </c>
      <c r="K21" s="22">
        <f>F21 * G21 * 8990.590114</f>
        <v>359.6236045600001</v>
      </c>
      <c r="L21" s="22">
        <f>F21 * G21 * 2382.35105499999</f>
        <v>95.294042199999623</v>
      </c>
      <c r="M21" s="22">
        <f>F21 * G21 * 1888.779436</f>
        <v>75.551177440000018</v>
      </c>
      <c r="N21" s="26">
        <f>SUM(H21:M21)</f>
        <v>998.55510583999978</v>
      </c>
      <c r="O21" s="33">
        <v>0.31401103957232696</v>
      </c>
    </row>
    <row r="22" spans="2:15" s="14" customFormat="1" ht="12.75">
      <c r="B22" s="15"/>
      <c r="C22" s="16" t="s">
        <v>62</v>
      </c>
      <c r="D22" s="47" t="s">
        <v>63</v>
      </c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33"/>
    </row>
    <row r="23" spans="2:15" ht="38.25">
      <c r="B23" s="17">
        <v>10</v>
      </c>
      <c r="C23" s="18" t="s">
        <v>64</v>
      </c>
      <c r="D23" s="19" t="s">
        <v>65</v>
      </c>
      <c r="E23" s="19" t="s">
        <v>66</v>
      </c>
      <c r="F23" s="20">
        <v>0.4</v>
      </c>
      <c r="G23" s="21">
        <v>0.2</v>
      </c>
      <c r="H23" s="22">
        <f>F23 * G23 * 6720.761279</f>
        <v>537.6609023200001</v>
      </c>
      <c r="I23" s="22">
        <f>F23 * G23 * 13630.595236</f>
        <v>1090.4476188800002</v>
      </c>
      <c r="J23" s="22">
        <f>F23 * G23 * 0</f>
        <v>0</v>
      </c>
      <c r="K23" s="22">
        <f>F23 * G23 * 6398.164737</f>
        <v>511.85317896000009</v>
      </c>
      <c r="L23" s="22">
        <f>F23 * G23 * 2963.882556</f>
        <v>237.11060448000003</v>
      </c>
      <c r="M23" s="22">
        <f>F23 * G23 * 1344.152256</f>
        <v>107.53218048000002</v>
      </c>
      <c r="N23" s="26">
        <f>SUM(H23:M23)</f>
        <v>2484.6044851200004</v>
      </c>
      <c r="O23" s="33">
        <v>0.78132216513207553</v>
      </c>
    </row>
    <row r="24" spans="2:15" s="14" customFormat="1" ht="12.75">
      <c r="B24" s="15"/>
      <c r="C24" s="16" t="s">
        <v>67</v>
      </c>
      <c r="D24" s="45" t="s">
        <v>68</v>
      </c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33"/>
    </row>
    <row r="25" spans="2:15" ht="25.5">
      <c r="B25" s="17">
        <v>11</v>
      </c>
      <c r="C25" s="18" t="s">
        <v>69</v>
      </c>
      <c r="D25" s="19" t="s">
        <v>70</v>
      </c>
      <c r="E25" s="19" t="s">
        <v>71</v>
      </c>
      <c r="F25" s="20"/>
      <c r="G25" s="21">
        <v>0.2</v>
      </c>
      <c r="H25" s="22">
        <f>F25 * G25 * 45799.93368</f>
        <v>0</v>
      </c>
      <c r="I25" s="22">
        <f>F25 * G25 * 27288.920963</f>
        <v>0</v>
      </c>
      <c r="J25" s="22">
        <f>F25 * G25 * 0</f>
        <v>0</v>
      </c>
      <c r="K25" s="22">
        <f>F25 * G25 * 43601.536863</f>
        <v>0</v>
      </c>
      <c r="L25" s="22">
        <f>F25 * G25 * 13277.214904</f>
        <v>0</v>
      </c>
      <c r="M25" s="22">
        <f>F25 * G25 * 9159.986736</f>
        <v>0</v>
      </c>
      <c r="N25" s="26">
        <f>SUM(H25:M25)</f>
        <v>0</v>
      </c>
      <c r="O25" s="33">
        <v>0</v>
      </c>
    </row>
    <row r="26" spans="2:15">
      <c r="B26" s="17">
        <v>12</v>
      </c>
      <c r="C26" s="18" t="s">
        <v>72</v>
      </c>
      <c r="D26" s="19" t="s">
        <v>73</v>
      </c>
      <c r="E26" s="19" t="s">
        <v>74</v>
      </c>
      <c r="F26" s="20">
        <v>5.1999999999999998E-2</v>
      </c>
      <c r="G26" s="21">
        <v>0.2</v>
      </c>
      <c r="H26" s="22">
        <f>F26 * G26 * 6868.288858</f>
        <v>71.430204123199999</v>
      </c>
      <c r="I26" s="22">
        <f>F26 * G26 * 167.041098</f>
        <v>1.7372274191999999</v>
      </c>
      <c r="J26" s="22">
        <f>F26 * G26 * 0</f>
        <v>0</v>
      </c>
      <c r="K26" s="22">
        <f>F26 * G26 * 6538.610993</f>
        <v>68.001554327199997</v>
      </c>
      <c r="L26" s="22">
        <f>F26 * G26 * 1576.971665</f>
        <v>16.400505316</v>
      </c>
      <c r="M26" s="22">
        <f>F26 * G26 * 1373.657772</f>
        <v>14.286040828799999</v>
      </c>
      <c r="N26" s="26">
        <f>SUM(H26:M26)</f>
        <v>171.85553201439998</v>
      </c>
      <c r="O26" s="33">
        <v>5.404262013031446E-2</v>
      </c>
    </row>
    <row r="27" spans="2:15" ht="25.5">
      <c r="B27" s="17">
        <v>13</v>
      </c>
      <c r="C27" s="18" t="s">
        <v>75</v>
      </c>
      <c r="D27" s="19" t="s">
        <v>76</v>
      </c>
      <c r="E27" s="19" t="s">
        <v>74</v>
      </c>
      <c r="F27" s="20">
        <v>5.1999999999999998E-2</v>
      </c>
      <c r="G27" s="21">
        <v>0.2</v>
      </c>
      <c r="H27" s="22">
        <f>F27 * G27 * 3434.144429</f>
        <v>35.7151020616</v>
      </c>
      <c r="I27" s="22">
        <f>F27 * G27 * 1053.975189</f>
        <v>10.961341965599999</v>
      </c>
      <c r="J27" s="22">
        <f>F27 * G27 * 0</f>
        <v>0</v>
      </c>
      <c r="K27" s="22">
        <f>F27 * G27 * 3269.305497</f>
        <v>34.000777168799999</v>
      </c>
      <c r="L27" s="22">
        <f>F27 * G27 * 890.868797</f>
        <v>9.2650354887999988</v>
      </c>
      <c r="M27" s="22">
        <f>F27 * G27 * 686.828886</f>
        <v>7.1430204143999996</v>
      </c>
      <c r="N27" s="26">
        <f>SUM(H27:M27)</f>
        <v>97.085277099199999</v>
      </c>
      <c r="O27" s="33">
        <v>3.0529961351949686E-2</v>
      </c>
    </row>
    <row r="28" spans="2:15" ht="25.5">
      <c r="B28" s="17">
        <v>14</v>
      </c>
      <c r="C28" s="18" t="s">
        <v>77</v>
      </c>
      <c r="D28" s="19" t="s">
        <v>78</v>
      </c>
      <c r="E28" s="19" t="s">
        <v>79</v>
      </c>
      <c r="F28" s="20"/>
      <c r="G28" s="21">
        <v>0.2</v>
      </c>
      <c r="H28" s="22">
        <f>F28 * G28 * 160.657019</f>
        <v>0</v>
      </c>
      <c r="I28" s="22">
        <f>F28 * G28 * 3486.691414</f>
        <v>0</v>
      </c>
      <c r="J28" s="22">
        <f>F28 * G28 * 0.049104</f>
        <v>0</v>
      </c>
      <c r="K28" s="22">
        <f>F28 * G28 * 152.945482</f>
        <v>0</v>
      </c>
      <c r="L28" s="22">
        <f>F28 * G28 * 404.326052</f>
        <v>0</v>
      </c>
      <c r="M28" s="22">
        <f>F28 * G28 * 32.131404</f>
        <v>0</v>
      </c>
      <c r="N28" s="26">
        <f>SUM(H28:M28)</f>
        <v>0</v>
      </c>
      <c r="O28" s="33">
        <v>0</v>
      </c>
    </row>
    <row r="29" spans="2:15" s="11" customFormat="1" ht="15">
      <c r="B29" s="12"/>
      <c r="C29" s="13" t="s">
        <v>81</v>
      </c>
      <c r="D29" s="43" t="s">
        <v>82</v>
      </c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33"/>
    </row>
    <row r="30" spans="2:15" s="14" customFormat="1" ht="12.75">
      <c r="B30" s="15"/>
      <c r="C30" s="16" t="s">
        <v>83</v>
      </c>
      <c r="D30" s="45" t="s">
        <v>84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33"/>
    </row>
    <row r="31" spans="2:15">
      <c r="B31" s="17">
        <v>15</v>
      </c>
      <c r="C31" s="18" t="s">
        <v>85</v>
      </c>
      <c r="D31" s="19" t="s">
        <v>86</v>
      </c>
      <c r="E31" s="19" t="s">
        <v>80</v>
      </c>
      <c r="F31" s="20">
        <v>0.02</v>
      </c>
      <c r="G31" s="21">
        <v>0.2</v>
      </c>
      <c r="H31" s="22">
        <f>F31 * G31 * 5151.216643</f>
        <v>20.604866571999999</v>
      </c>
      <c r="I31" s="22">
        <f>F31 * G31 * 2870.101368</f>
        <v>11.480405472000001</v>
      </c>
      <c r="J31" s="22">
        <f>F31 * G31 * 0</f>
        <v>0</v>
      </c>
      <c r="K31" s="22">
        <f>F31 * G31 * 4903.95824399999</f>
        <v>19.615832975999961</v>
      </c>
      <c r="L31" s="22">
        <f>F31 * G31 * 1472.307316</f>
        <v>5.8892292639999999</v>
      </c>
      <c r="M31" s="22">
        <f>F31 * G31 * 1030.243329</f>
        <v>4.1209733159999997</v>
      </c>
      <c r="N31" s="26">
        <f>SUM(H31:M31)</f>
        <v>61.711307599999955</v>
      </c>
      <c r="O31" s="33">
        <v>1.940607157232703E-2</v>
      </c>
    </row>
    <row r="32" spans="2:15">
      <c r="B32" s="17">
        <v>16</v>
      </c>
      <c r="C32" s="18" t="s">
        <v>87</v>
      </c>
      <c r="D32" s="19" t="s">
        <v>88</v>
      </c>
      <c r="E32" s="19" t="s">
        <v>80</v>
      </c>
      <c r="F32" s="20">
        <v>5.0000000000000001E-3</v>
      </c>
      <c r="G32" s="21">
        <v>0.2</v>
      </c>
      <c r="H32" s="22">
        <f>F32 * G32 * 8518.825469</f>
        <v>8.5188254689999994</v>
      </c>
      <c r="I32" s="22">
        <f>F32 * G32 * 5234.768898</f>
        <v>5.2347688980000004</v>
      </c>
      <c r="J32" s="22">
        <f>F32 * G32 * 0</f>
        <v>0</v>
      </c>
      <c r="K32" s="22">
        <f>F32 * G32 * 8109.921847</f>
        <v>8.109921846999999</v>
      </c>
      <c r="L32" s="22">
        <f>F32 * G32 * 2486.34817799999</f>
        <v>2.4863481779999903</v>
      </c>
      <c r="M32" s="22">
        <f>F32 * G32 * 1703.765094</f>
        <v>1.7037650940000002</v>
      </c>
      <c r="N32" s="26">
        <f>SUM(H32:M32)</f>
        <v>26.053629485999991</v>
      </c>
      <c r="O32" s="33">
        <v>8.1929652471698089E-3</v>
      </c>
    </row>
    <row r="33" spans="2:15" s="11" customFormat="1" ht="15">
      <c r="B33" s="12"/>
      <c r="C33" s="13" t="s">
        <v>89</v>
      </c>
      <c r="D33" s="43" t="s">
        <v>90</v>
      </c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33"/>
    </row>
    <row r="34" spans="2:15" s="14" customFormat="1" ht="12.75">
      <c r="B34" s="15"/>
      <c r="C34" s="16" t="s">
        <v>91</v>
      </c>
      <c r="D34" s="45" t="s">
        <v>92</v>
      </c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33"/>
    </row>
    <row r="35" spans="2:15" s="14" customFormat="1" ht="12.75">
      <c r="B35" s="15"/>
      <c r="C35" s="16" t="s">
        <v>93</v>
      </c>
      <c r="D35" s="47" t="s">
        <v>94</v>
      </c>
      <c r="E35" s="47"/>
      <c r="F35" s="47"/>
      <c r="G35" s="47"/>
      <c r="H35" s="47"/>
      <c r="I35" s="47"/>
      <c r="J35" s="47"/>
      <c r="K35" s="47"/>
      <c r="L35" s="47"/>
      <c r="M35" s="47"/>
      <c r="N35" s="48"/>
      <c r="O35" s="33"/>
    </row>
    <row r="36" spans="2:15" ht="25.5">
      <c r="B36" s="17">
        <v>17</v>
      </c>
      <c r="C36" s="18" t="s">
        <v>95</v>
      </c>
      <c r="D36" s="19" t="s">
        <v>96</v>
      </c>
      <c r="E36" s="19" t="s">
        <v>97</v>
      </c>
      <c r="F36" s="20">
        <v>0.04</v>
      </c>
      <c r="G36" s="21">
        <v>1</v>
      </c>
      <c r="H36" s="22">
        <f>F36 * G36 * 10517.067313</f>
        <v>420.68269251999999</v>
      </c>
      <c r="I36" s="22">
        <f>F36 * G36 * 71084.646478</f>
        <v>2843.3858591200001</v>
      </c>
      <c r="J36" s="22">
        <f>F36 * G36 * 0</f>
        <v>0</v>
      </c>
      <c r="K36" s="22">
        <f>F36 * G36 * 10012.248082</f>
        <v>400.48992328000003</v>
      </c>
      <c r="L36" s="22">
        <f>F36 * G36 * 9887.183098</f>
        <v>395.48732391999999</v>
      </c>
      <c r="M36" s="22">
        <f>F36 * G36 * 2103.413463</f>
        <v>84.136538520000002</v>
      </c>
      <c r="N36" s="26">
        <f>SUM(H36:M36)</f>
        <v>4144.18233736</v>
      </c>
      <c r="O36" s="33">
        <v>1.3032019928805032</v>
      </c>
    </row>
    <row r="37" spans="2:15" s="14" customFormat="1" ht="12.75">
      <c r="B37" s="15"/>
      <c r="C37" s="16" t="s">
        <v>98</v>
      </c>
      <c r="D37" s="45" t="s">
        <v>99</v>
      </c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33"/>
    </row>
    <row r="38" spans="2:15" s="14" customFormat="1" ht="12.75">
      <c r="B38" s="15"/>
      <c r="C38" s="16" t="s">
        <v>100</v>
      </c>
      <c r="D38" s="47" t="s">
        <v>101</v>
      </c>
      <c r="E38" s="47"/>
      <c r="F38" s="47"/>
      <c r="G38" s="47"/>
      <c r="H38" s="47"/>
      <c r="I38" s="47"/>
      <c r="J38" s="47"/>
      <c r="K38" s="47"/>
      <c r="L38" s="47"/>
      <c r="M38" s="47"/>
      <c r="N38" s="48"/>
      <c r="O38" s="33"/>
    </row>
    <row r="39" spans="2:15" s="14" customFormat="1" ht="12.75">
      <c r="B39" s="15"/>
      <c r="C39" s="16" t="s">
        <v>102</v>
      </c>
      <c r="D39" s="49" t="s">
        <v>103</v>
      </c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33"/>
    </row>
    <row r="40" spans="2:15" ht="25.5">
      <c r="B40" s="17">
        <v>18</v>
      </c>
      <c r="C40" s="18" t="s">
        <v>104</v>
      </c>
      <c r="D40" s="19" t="s">
        <v>96</v>
      </c>
      <c r="E40" s="19" t="s">
        <v>97</v>
      </c>
      <c r="F40" s="20">
        <v>0.51</v>
      </c>
      <c r="G40" s="21">
        <v>0.1</v>
      </c>
      <c r="H40" s="22">
        <f>F40 * G40 * 10517.067313</f>
        <v>536.37043296299998</v>
      </c>
      <c r="I40" s="22">
        <f>F40 * G40 * 70863.793891</f>
        <v>3614.0534884409999</v>
      </c>
      <c r="J40" s="22">
        <f>F40 * G40 * 0</f>
        <v>0</v>
      </c>
      <c r="K40" s="22">
        <f>F40 * G40 * 10012.248082</f>
        <v>510.62465218200003</v>
      </c>
      <c r="L40" s="22">
        <f>F40 * G40 * 9863.88315</f>
        <v>503.05804065000001</v>
      </c>
      <c r="M40" s="22">
        <f>F40 * G40 * 2103.413463</f>
        <v>107.27408661299999</v>
      </c>
      <c r="N40" s="26">
        <f>SUM(H40:M40)</f>
        <v>5271.3807008490003</v>
      </c>
      <c r="O40" s="33">
        <v>1.657666887059434</v>
      </c>
    </row>
    <row r="41" spans="2:15" ht="25.5">
      <c r="B41" s="17">
        <v>19</v>
      </c>
      <c r="C41" s="18" t="s">
        <v>105</v>
      </c>
      <c r="D41" s="19" t="s">
        <v>106</v>
      </c>
      <c r="E41" s="19" t="s">
        <v>107</v>
      </c>
      <c r="F41" s="20">
        <v>0.08</v>
      </c>
      <c r="G41" s="21">
        <v>0.1</v>
      </c>
      <c r="H41" s="22">
        <f>F41 * G41 * 16312.186037</f>
        <v>130.497488296</v>
      </c>
      <c r="I41" s="22">
        <f>F41 * G41 * 30252.376294</f>
        <v>242.01901035200001</v>
      </c>
      <c r="J41" s="22">
        <f>F41 * G41 * 4.87872</f>
        <v>3.9029760000000004E-2</v>
      </c>
      <c r="K41" s="22">
        <f>F41 * G41 * 15529.201107</f>
        <v>124.233608856</v>
      </c>
      <c r="L41" s="22">
        <f>F41 * G41 * 6895.593873</f>
        <v>55.164750984000001</v>
      </c>
      <c r="M41" s="22">
        <f>F41 * G41 * 3262.437207</f>
        <v>26.099497656</v>
      </c>
      <c r="N41" s="26">
        <f>SUM(H41:M41)</f>
        <v>578.05338590400004</v>
      </c>
      <c r="O41" s="33">
        <v>0.18177779430943397</v>
      </c>
    </row>
    <row r="42" spans="2:15" ht="25.5">
      <c r="B42" s="17">
        <v>20</v>
      </c>
      <c r="C42" s="18" t="s">
        <v>108</v>
      </c>
      <c r="D42" s="19" t="s">
        <v>109</v>
      </c>
      <c r="E42" s="19" t="s">
        <v>110</v>
      </c>
      <c r="F42" s="20">
        <v>1</v>
      </c>
      <c r="G42" s="21">
        <v>0.1</v>
      </c>
      <c r="H42" s="22">
        <f>F42 * G42 * 89.380414</f>
        <v>8.9380414000000012</v>
      </c>
      <c r="I42" s="22">
        <f>F42 * G42 * 303.168894</f>
        <v>30.316889400000004</v>
      </c>
      <c r="J42" s="22">
        <f>F42 * G42 * 0.049562</f>
        <v>4.9562000000000009E-3</v>
      </c>
      <c r="K42" s="22">
        <f>F42 * G42 * 85.090154</f>
        <v>8.5090154000000009</v>
      </c>
      <c r="L42" s="22">
        <f>F42 * G42 * 52.282119</f>
        <v>5.2282119000000007</v>
      </c>
      <c r="M42" s="22">
        <f>F42 * G42 * 17.876083</f>
        <v>1.7876083000000003</v>
      </c>
      <c r="N42" s="26">
        <f>SUM(H42:M42)</f>
        <v>54.784722600000009</v>
      </c>
      <c r="O42" s="33">
        <v>1.7227900188679247E-2</v>
      </c>
    </row>
    <row r="43" spans="2:15" s="14" customFormat="1" ht="12.75">
      <c r="B43" s="15"/>
      <c r="C43" s="16" t="s">
        <v>111</v>
      </c>
      <c r="D43" s="45" t="s">
        <v>112</v>
      </c>
      <c r="E43" s="45"/>
      <c r="F43" s="45"/>
      <c r="G43" s="45"/>
      <c r="H43" s="45"/>
      <c r="I43" s="45"/>
      <c r="J43" s="45"/>
      <c r="K43" s="45"/>
      <c r="L43" s="45"/>
      <c r="M43" s="45"/>
      <c r="N43" s="46"/>
      <c r="O43" s="33"/>
    </row>
    <row r="44" spans="2:15" s="14" customFormat="1" ht="12.75">
      <c r="B44" s="15"/>
      <c r="C44" s="16" t="s">
        <v>113</v>
      </c>
      <c r="D44" s="47" t="s">
        <v>114</v>
      </c>
      <c r="E44" s="47"/>
      <c r="F44" s="47"/>
      <c r="G44" s="47"/>
      <c r="H44" s="47"/>
      <c r="I44" s="47"/>
      <c r="J44" s="47"/>
      <c r="K44" s="47"/>
      <c r="L44" s="47"/>
      <c r="M44" s="47"/>
      <c r="N44" s="48"/>
      <c r="O44" s="33"/>
    </row>
    <row r="45" spans="2:15" ht="25.5">
      <c r="B45" s="17">
        <v>21</v>
      </c>
      <c r="C45" s="18" t="s">
        <v>115</v>
      </c>
      <c r="D45" s="19" t="s">
        <v>116</v>
      </c>
      <c r="E45" s="19" t="s">
        <v>117</v>
      </c>
      <c r="F45" s="20">
        <v>0.04</v>
      </c>
      <c r="G45" s="21">
        <v>0.1</v>
      </c>
      <c r="H45" s="22">
        <f>F45 * G45 * 41473.229256</f>
        <v>165.89291702399998</v>
      </c>
      <c r="I45" s="22">
        <f>F45 * G45 * 54570.95176</f>
        <v>218.28380704000003</v>
      </c>
      <c r="J45" s="22">
        <f>F45 * G45 * 0</f>
        <v>0</v>
      </c>
      <c r="K45" s="22">
        <f>F45 * G45 * 39482.514251</f>
        <v>157.93005700399999</v>
      </c>
      <c r="L45" s="22">
        <f>F45 * G45 * 15173.151488</f>
        <v>60.692605952000001</v>
      </c>
      <c r="M45" s="22">
        <f>F45 * G45 * 8294.645851</f>
        <v>33.178583404000001</v>
      </c>
      <c r="N45" s="26">
        <f>SUM(H45:M45)</f>
        <v>635.97797042400009</v>
      </c>
      <c r="O45" s="33">
        <v>0.19999307246037737</v>
      </c>
    </row>
    <row r="46" spans="2:15" ht="25.5">
      <c r="B46" s="17">
        <v>22</v>
      </c>
      <c r="C46" s="18" t="s">
        <v>118</v>
      </c>
      <c r="D46" s="19" t="s">
        <v>119</v>
      </c>
      <c r="E46" s="19" t="s">
        <v>120</v>
      </c>
      <c r="F46" s="20">
        <v>0.04</v>
      </c>
      <c r="G46" s="21">
        <v>0.1</v>
      </c>
      <c r="H46" s="22">
        <f>F46 * G46 * 11433.160498</f>
        <v>45.732641991999998</v>
      </c>
      <c r="I46" s="22">
        <f>F46 * G46 * 16197.250538</f>
        <v>64.789002152000009</v>
      </c>
      <c r="J46" s="22">
        <f>F46 * G46 * 0</f>
        <v>0</v>
      </c>
      <c r="K46" s="22">
        <f>F46 * G46 * 10884.368794</f>
        <v>43.537475176000001</v>
      </c>
      <c r="L46" s="22">
        <f>F46 * G46 * 4304.548959</f>
        <v>17.218195836</v>
      </c>
      <c r="M46" s="22">
        <f>F46 * G46 * 2286.6321</f>
        <v>9.1465283999999993</v>
      </c>
      <c r="N46" s="26">
        <f>SUM(H46:M46)</f>
        <v>180.42384355600001</v>
      </c>
      <c r="O46" s="33">
        <v>5.6737057722012575E-2</v>
      </c>
    </row>
    <row r="47" spans="2:15" s="14" customFormat="1" ht="12.75">
      <c r="B47" s="15"/>
      <c r="C47" s="16" t="s">
        <v>121</v>
      </c>
      <c r="D47" s="45" t="s">
        <v>122</v>
      </c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33"/>
    </row>
    <row r="48" spans="2:15" s="14" customFormat="1" ht="12.75">
      <c r="B48" s="15"/>
      <c r="C48" s="16" t="s">
        <v>123</v>
      </c>
      <c r="D48" s="47" t="s">
        <v>124</v>
      </c>
      <c r="E48" s="47"/>
      <c r="F48" s="47"/>
      <c r="G48" s="47"/>
      <c r="H48" s="47"/>
      <c r="I48" s="47"/>
      <c r="J48" s="47"/>
      <c r="K48" s="47"/>
      <c r="L48" s="47"/>
      <c r="M48" s="47"/>
      <c r="N48" s="48"/>
      <c r="O48" s="33"/>
    </row>
    <row r="49" spans="2:15" ht="25.5">
      <c r="B49" s="17">
        <v>23</v>
      </c>
      <c r="C49" s="18" t="s">
        <v>125</v>
      </c>
      <c r="D49" s="19" t="s">
        <v>126</v>
      </c>
      <c r="E49" s="19" t="s">
        <v>127</v>
      </c>
      <c r="F49" s="20">
        <v>5.0000000000000001E-3</v>
      </c>
      <c r="G49" s="21">
        <v>0.1</v>
      </c>
      <c r="H49" s="22">
        <f>F49 * G49 * 14369.913488</f>
        <v>7.184956744</v>
      </c>
      <c r="I49" s="22">
        <f>F49 * G49 * 0</f>
        <v>0</v>
      </c>
      <c r="J49" s="22">
        <f>F49 * G49 * 907.1744</f>
        <v>0.45358720000000002</v>
      </c>
      <c r="K49" s="22">
        <f>F49 * G49 * 14074.7808709999</f>
        <v>7.0373904354999501</v>
      </c>
      <c r="L49" s="22">
        <f>F49 * G49 * 3408.573704</f>
        <v>1.7042868520000001</v>
      </c>
      <c r="M49" s="22">
        <f>F49 * G49 * 2956.886738</f>
        <v>1.4784433690000001</v>
      </c>
      <c r="N49" s="26">
        <f>SUM(H49:M49)</f>
        <v>17.858664600499949</v>
      </c>
      <c r="O49" s="33">
        <v>5.6159322643081601E-3</v>
      </c>
    </row>
    <row r="50" spans="2:15">
      <c r="B50" s="17">
        <v>24</v>
      </c>
      <c r="C50" s="18" t="s">
        <v>128</v>
      </c>
      <c r="D50" s="19" t="s">
        <v>129</v>
      </c>
      <c r="E50" s="19" t="s">
        <v>130</v>
      </c>
      <c r="F50" s="20">
        <v>1</v>
      </c>
      <c r="G50" s="21">
        <v>1</v>
      </c>
      <c r="H50" s="22">
        <f>F50 * G50 * 403.523312</f>
        <v>403.52331199999998</v>
      </c>
      <c r="I50" s="22">
        <f>F50 * G50 * 119.395596</f>
        <v>119.395596</v>
      </c>
      <c r="J50" s="22">
        <f>F50 * G50 * 0</f>
        <v>0</v>
      </c>
      <c r="K50" s="22">
        <f>F50 * G50 * 384.154192999999</f>
        <v>384.154192999999</v>
      </c>
      <c r="L50" s="22">
        <f>F50 * G50 * 104.210554</f>
        <v>104.210554</v>
      </c>
      <c r="M50" s="22">
        <f>F50 * G50 * 80.704662</f>
        <v>80.704661999999999</v>
      </c>
      <c r="N50" s="26">
        <f>SUM(H50:M50)</f>
        <v>1091.9883169999991</v>
      </c>
      <c r="O50" s="33">
        <v>0.34339255251572304</v>
      </c>
    </row>
    <row r="51" spans="2:15">
      <c r="B51" s="17">
        <v>25</v>
      </c>
      <c r="C51" s="18" t="s">
        <v>131</v>
      </c>
      <c r="D51" s="19" t="s">
        <v>132</v>
      </c>
      <c r="E51" s="19" t="s">
        <v>133</v>
      </c>
      <c r="F51" s="20">
        <v>5.0000000000000001E-3</v>
      </c>
      <c r="G51" s="21">
        <v>1</v>
      </c>
      <c r="H51" s="22">
        <f>F51 * G51 * 32099.905181</f>
        <v>160.49952590499998</v>
      </c>
      <c r="I51" s="22">
        <f>F51 * G51 * 9512.934194</f>
        <v>47.564670970000002</v>
      </c>
      <c r="J51" s="22">
        <f>F51 * G51 * 8.5184</f>
        <v>4.2591999999999998E-2</v>
      </c>
      <c r="K51" s="22">
        <f>F51 * G51 * 30559.1097329999</f>
        <v>152.7955486649995</v>
      </c>
      <c r="L51" s="22">
        <f>F51 * G51 * 8292.347322</f>
        <v>41.461736609999996</v>
      </c>
      <c r="M51" s="22">
        <f>F51 * G51 * 6419.981036</f>
        <v>32.09990518</v>
      </c>
      <c r="N51" s="26">
        <f>SUM(H51:M51)</f>
        <v>434.46397932999952</v>
      </c>
      <c r="O51" s="33">
        <v>0.13662389287106905</v>
      </c>
    </row>
    <row r="52" spans="2:15" s="14" customFormat="1" ht="12.75">
      <c r="B52" s="15"/>
      <c r="C52" s="16" t="s">
        <v>134</v>
      </c>
      <c r="D52" s="45" t="s">
        <v>135</v>
      </c>
      <c r="E52" s="45"/>
      <c r="F52" s="45"/>
      <c r="G52" s="45"/>
      <c r="H52" s="45"/>
      <c r="I52" s="45"/>
      <c r="J52" s="45"/>
      <c r="K52" s="45"/>
      <c r="L52" s="45"/>
      <c r="M52" s="45"/>
      <c r="N52" s="46"/>
      <c r="O52" s="33"/>
    </row>
    <row r="53" spans="2:15" ht="25.5">
      <c r="B53" s="17">
        <v>26</v>
      </c>
      <c r="C53" s="18" t="s">
        <v>136</v>
      </c>
      <c r="D53" s="19" t="s">
        <v>137</v>
      </c>
      <c r="E53" s="19" t="s">
        <v>61</v>
      </c>
      <c r="F53" s="20"/>
      <c r="G53" s="21">
        <v>1</v>
      </c>
      <c r="H53" s="22">
        <f>F53 * G53 * 9443.897179</f>
        <v>0</v>
      </c>
      <c r="I53" s="22">
        <f>F53 * G53 * 5371.40334</f>
        <v>0</v>
      </c>
      <c r="J53" s="22">
        <f>F53 * G53 * 0</f>
        <v>0</v>
      </c>
      <c r="K53" s="22">
        <f>F53 * G53 * 8990.590114</f>
        <v>0</v>
      </c>
      <c r="L53" s="22">
        <f>F53 * G53 * 2710.787692</f>
        <v>0</v>
      </c>
      <c r="M53" s="22">
        <f>F53 * G53 * 1888.779436</f>
        <v>0</v>
      </c>
      <c r="N53" s="26">
        <f>SUM(H53:M53)</f>
        <v>0</v>
      </c>
      <c r="O53" s="33">
        <v>0</v>
      </c>
    </row>
    <row r="54" spans="2:15" ht="38.25">
      <c r="B54" s="17">
        <v>27</v>
      </c>
      <c r="C54" s="18" t="s">
        <v>138</v>
      </c>
      <c r="D54" s="19" t="s">
        <v>139</v>
      </c>
      <c r="E54" s="19" t="s">
        <v>39</v>
      </c>
      <c r="F54" s="20"/>
      <c r="G54" s="21">
        <v>0.2</v>
      </c>
      <c r="H54" s="22">
        <f>F54 * G54 * 34349.95026</f>
        <v>0</v>
      </c>
      <c r="I54" s="22">
        <f>F54 * G54 * 13595.225866</f>
        <v>0</v>
      </c>
      <c r="J54" s="22">
        <f>F54 * G54 * 0</f>
        <v>0</v>
      </c>
      <c r="K54" s="22">
        <f>F54 * G54 * 32701.152648</f>
        <v>0</v>
      </c>
      <c r="L54" s="22">
        <f>F54 * G54 * 9232.971636</f>
        <v>0</v>
      </c>
      <c r="M54" s="22">
        <f>F54 * G54 * 6869.990052</f>
        <v>0</v>
      </c>
      <c r="N54" s="26">
        <f>SUM(H54:M54)</f>
        <v>0</v>
      </c>
      <c r="O54" s="33">
        <v>0</v>
      </c>
    </row>
    <row r="55" spans="2:15" s="14" customFormat="1" ht="12.75">
      <c r="B55" s="15"/>
      <c r="C55" s="16" t="s">
        <v>140</v>
      </c>
      <c r="D55" s="45" t="s">
        <v>141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3"/>
    </row>
    <row r="56" spans="2:15" ht="25.5">
      <c r="B56" s="17">
        <v>28</v>
      </c>
      <c r="C56" s="18" t="s">
        <v>142</v>
      </c>
      <c r="D56" s="19" t="s">
        <v>143</v>
      </c>
      <c r="E56" s="19" t="s">
        <v>144</v>
      </c>
      <c r="F56" s="20">
        <v>0.02</v>
      </c>
      <c r="G56" s="21">
        <v>0.1</v>
      </c>
      <c r="H56" s="22">
        <f>F56 * G56 * 25326.815162</f>
        <v>50.653630323999998</v>
      </c>
      <c r="I56" s="22">
        <f>F56 * G56 * 51616.683902</f>
        <v>103.233367804</v>
      </c>
      <c r="J56" s="22">
        <f>F56 * G56 * 0</f>
        <v>0</v>
      </c>
      <c r="K56" s="22">
        <f>F56 * G56 * 24111.1280339999</f>
        <v>48.222256067999801</v>
      </c>
      <c r="L56" s="22">
        <f>F56 * G56 * 11195.658959</f>
        <v>22.391317918000002</v>
      </c>
      <c r="M56" s="22">
        <f>F56 * G56 * 5065.363032</f>
        <v>10.130726064000001</v>
      </c>
      <c r="N56" s="26">
        <f>SUM(H56:M56)</f>
        <v>234.63129817799978</v>
      </c>
      <c r="O56" s="33">
        <v>7.3783427099999924E-2</v>
      </c>
    </row>
    <row r="57" spans="2:15" s="14" customFormat="1" ht="12.75">
      <c r="B57" s="15"/>
      <c r="C57" s="16" t="s">
        <v>145</v>
      </c>
      <c r="D57" s="45" t="s">
        <v>146</v>
      </c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3"/>
    </row>
    <row r="58" spans="2:15">
      <c r="B58" s="17">
        <v>29</v>
      </c>
      <c r="C58" s="18" t="s">
        <v>147</v>
      </c>
      <c r="D58" s="19" t="s">
        <v>148</v>
      </c>
      <c r="E58" s="19" t="s">
        <v>149</v>
      </c>
      <c r="F58" s="20">
        <v>0.01</v>
      </c>
      <c r="G58" s="21">
        <v>1</v>
      </c>
      <c r="H58" s="22">
        <f>F58 * G58 * 11907.982757</f>
        <v>119.07982757000001</v>
      </c>
      <c r="I58" s="22">
        <f>F58 * G58 * 68364.378694</f>
        <v>683.64378694000004</v>
      </c>
      <c r="J58" s="22">
        <f t="shared" ref="J58:J64" si="0">F58 * G58 * 0</f>
        <v>0</v>
      </c>
      <c r="K58" s="22">
        <f>F58 * G58 * 11336.399585</f>
        <v>113.36399584999999</v>
      </c>
      <c r="L58" s="22">
        <f>F58 * G58 * 9915.982725</f>
        <v>99.159827250000006</v>
      </c>
      <c r="M58" s="22">
        <f>F58 * G58 * 2381.596551</f>
        <v>23.815965510000002</v>
      </c>
      <c r="N58" s="26">
        <f t="shared" ref="N58:N64" si="1">SUM(H58:M58)</f>
        <v>1039.0634031200002</v>
      </c>
      <c r="O58" s="33">
        <v>0.32674949783647805</v>
      </c>
    </row>
    <row r="59" spans="2:15">
      <c r="B59" s="17">
        <v>30</v>
      </c>
      <c r="C59" s="18" t="s">
        <v>150</v>
      </c>
      <c r="D59" s="19" t="s">
        <v>151</v>
      </c>
      <c r="E59" s="19" t="s">
        <v>149</v>
      </c>
      <c r="F59" s="20">
        <v>0.01</v>
      </c>
      <c r="G59" s="21">
        <v>1</v>
      </c>
      <c r="H59" s="22">
        <f>F59 * G59 * 27479.960208</f>
        <v>274.79960208</v>
      </c>
      <c r="I59" s="22">
        <f>F59 * G59 * 68364.378694</f>
        <v>683.64378694000004</v>
      </c>
      <c r="J59" s="22">
        <f t="shared" si="0"/>
        <v>0</v>
      </c>
      <c r="K59" s="22">
        <f>F59 * G59 * 26160.922118</f>
        <v>261.60922117999996</v>
      </c>
      <c r="L59" s="22">
        <f>F59 * G59 * 13451.382198</f>
        <v>134.51382197999999</v>
      </c>
      <c r="M59" s="22">
        <f>F59 * G59 * 5495.992042</f>
        <v>54.959920420000003</v>
      </c>
      <c r="N59" s="26">
        <f t="shared" si="1"/>
        <v>1409.5263525999999</v>
      </c>
      <c r="O59" s="33">
        <v>0.4432472806918239</v>
      </c>
    </row>
    <row r="60" spans="2:15">
      <c r="B60" s="17">
        <v>31</v>
      </c>
      <c r="C60" s="18" t="s">
        <v>152</v>
      </c>
      <c r="D60" s="19" t="s">
        <v>153</v>
      </c>
      <c r="E60" s="19" t="s">
        <v>149</v>
      </c>
      <c r="F60" s="20">
        <v>0.01</v>
      </c>
      <c r="G60" s="21">
        <v>1</v>
      </c>
      <c r="H60" s="22">
        <f>F60 * G60 * 8701.987399</f>
        <v>87.019873989999994</v>
      </c>
      <c r="I60" s="22">
        <f>F60 * G60 * 27992.692254</f>
        <v>279.92692254000002</v>
      </c>
      <c r="J60" s="22">
        <f t="shared" si="0"/>
        <v>0</v>
      </c>
      <c r="K60" s="22">
        <f>F60 * G60 * 8284.292003</f>
        <v>82.842920030000002</v>
      </c>
      <c r="L60" s="22">
        <f>F60 * G60 * 4928.893444</f>
        <v>49.288934440000006</v>
      </c>
      <c r="M60" s="22">
        <f>F60 * G60 * 1740.39748</f>
        <v>17.4039748</v>
      </c>
      <c r="N60" s="26">
        <f t="shared" si="1"/>
        <v>516.48262580000005</v>
      </c>
      <c r="O60" s="33">
        <v>0.1624159200628931</v>
      </c>
    </row>
    <row r="61" spans="2:15">
      <c r="B61" s="17">
        <v>32</v>
      </c>
      <c r="C61" s="18" t="s">
        <v>154</v>
      </c>
      <c r="D61" s="19" t="s">
        <v>155</v>
      </c>
      <c r="E61" s="19" t="s">
        <v>31</v>
      </c>
      <c r="F61" s="20">
        <v>0.01</v>
      </c>
      <c r="G61" s="21">
        <v>1</v>
      </c>
      <c r="H61" s="22">
        <f>F61 * G61 * 13052.981099</f>
        <v>130.52981099000002</v>
      </c>
      <c r="I61" s="22">
        <f>F61 * G61 * 50898.12568</f>
        <v>508.98125679999998</v>
      </c>
      <c r="J61" s="22">
        <f t="shared" si="0"/>
        <v>0</v>
      </c>
      <c r="K61" s="22">
        <f>F61 * G61 * 12426.438006</f>
        <v>124.26438006000001</v>
      </c>
      <c r="L61" s="22">
        <f>F61 * G61 * 8333.248876</f>
        <v>83.332488760000004</v>
      </c>
      <c r="M61" s="22">
        <f>F61 * G61 * 2610.59622</f>
        <v>26.1059622</v>
      </c>
      <c r="N61" s="26">
        <f t="shared" si="1"/>
        <v>873.21389881000005</v>
      </c>
      <c r="O61" s="33">
        <v>0.274595565663522</v>
      </c>
    </row>
    <row r="62" spans="2:15">
      <c r="B62" s="17">
        <v>33</v>
      </c>
      <c r="C62" s="18" t="s">
        <v>156</v>
      </c>
      <c r="D62" s="19" t="s">
        <v>157</v>
      </c>
      <c r="E62" s="19" t="s">
        <v>31</v>
      </c>
      <c r="F62" s="20">
        <v>0.01</v>
      </c>
      <c r="G62" s="21">
        <v>1</v>
      </c>
      <c r="H62" s="22">
        <f>F62 * G62 * 14655.978778</f>
        <v>146.55978778000002</v>
      </c>
      <c r="I62" s="22">
        <f>F62 * G62 * 24605.57368</f>
        <v>246.05573680000001</v>
      </c>
      <c r="J62" s="22">
        <f t="shared" si="0"/>
        <v>0</v>
      </c>
      <c r="K62" s="22">
        <f>F62 * G62 * 13952.4917969999</f>
        <v>139.524917969999</v>
      </c>
      <c r="L62" s="22">
        <f>F62 * G62 * 5923.322821</f>
        <v>59.23322821</v>
      </c>
      <c r="M62" s="22">
        <f>F62 * G62 * 2931.195756</f>
        <v>29.31195756</v>
      </c>
      <c r="N62" s="26">
        <f t="shared" si="1"/>
        <v>620.68562831999907</v>
      </c>
      <c r="O62" s="33">
        <v>0.19518415984905632</v>
      </c>
    </row>
    <row r="63" spans="2:15">
      <c r="B63" s="17">
        <v>34</v>
      </c>
      <c r="C63" s="18" t="s">
        <v>158</v>
      </c>
      <c r="D63" s="19" t="s">
        <v>159</v>
      </c>
      <c r="E63" s="19" t="s">
        <v>31</v>
      </c>
      <c r="F63" s="20">
        <v>0.01</v>
      </c>
      <c r="G63" s="21">
        <v>1</v>
      </c>
      <c r="H63" s="22">
        <f>F63 * G63 * 10533.984746</f>
        <v>105.33984746</v>
      </c>
      <c r="I63" s="22">
        <f>F63 * G63 * 22704.89368</f>
        <v>227.04893680000001</v>
      </c>
      <c r="J63" s="22">
        <f t="shared" si="0"/>
        <v>0</v>
      </c>
      <c r="K63" s="22">
        <f>F63 * G63 * 10028.353478</f>
        <v>100.28353478000001</v>
      </c>
      <c r="L63" s="22">
        <f>F63 * G63 * 4786.960044</f>
        <v>47.869600440000006</v>
      </c>
      <c r="M63" s="22">
        <f>F63 * G63 * 2106.796949</f>
        <v>21.067969489999999</v>
      </c>
      <c r="N63" s="26">
        <f t="shared" si="1"/>
        <v>501.60988897000004</v>
      </c>
      <c r="O63" s="33">
        <v>0.15773895879559749</v>
      </c>
    </row>
    <row r="64" spans="2:15" ht="38.25">
      <c r="B64" s="17">
        <v>35</v>
      </c>
      <c r="C64" s="18" t="s">
        <v>160</v>
      </c>
      <c r="D64" s="19" t="s">
        <v>161</v>
      </c>
      <c r="E64" s="19" t="s">
        <v>162</v>
      </c>
      <c r="F64" s="20">
        <v>0.01</v>
      </c>
      <c r="G64" s="21">
        <v>1</v>
      </c>
      <c r="H64" s="22">
        <f>F64 * G64 * 21463.40268</f>
        <v>214.63402679999999</v>
      </c>
      <c r="I64" s="22">
        <f>F64 * G64 * 50474.624404</f>
        <v>504.74624404000002</v>
      </c>
      <c r="J64" s="22">
        <f t="shared" si="0"/>
        <v>0</v>
      </c>
      <c r="K64" s="22">
        <f>F64 * G64 * 20433.159351</f>
        <v>204.33159350999998</v>
      </c>
      <c r="L64" s="22">
        <f>F64 * G64 * 10198.037966</f>
        <v>101.98037966</v>
      </c>
      <c r="M64" s="22">
        <f>F64 * G64 * 4292.680536</f>
        <v>42.926805359999996</v>
      </c>
      <c r="N64" s="26">
        <f t="shared" si="1"/>
        <v>1068.6190493699999</v>
      </c>
      <c r="O64" s="33">
        <v>0.33604372621698109</v>
      </c>
    </row>
    <row r="65" spans="2:15" s="14" customFormat="1" ht="12.75">
      <c r="B65" s="15"/>
      <c r="C65" s="16" t="s">
        <v>163</v>
      </c>
      <c r="D65" s="45" t="s">
        <v>164</v>
      </c>
      <c r="E65" s="45"/>
      <c r="F65" s="45"/>
      <c r="G65" s="45"/>
      <c r="H65" s="45"/>
      <c r="I65" s="45"/>
      <c r="J65" s="45"/>
      <c r="K65" s="45"/>
      <c r="L65" s="45"/>
      <c r="M65" s="45"/>
      <c r="N65" s="46"/>
      <c r="O65" s="33"/>
    </row>
    <row r="66" spans="2:15" ht="25.5">
      <c r="B66" s="17">
        <v>36</v>
      </c>
      <c r="C66" s="18" t="s">
        <v>165</v>
      </c>
      <c r="D66" s="19" t="s">
        <v>166</v>
      </c>
      <c r="E66" s="19" t="s">
        <v>167</v>
      </c>
      <c r="F66" s="20">
        <v>0.01</v>
      </c>
      <c r="G66" s="21">
        <v>1</v>
      </c>
      <c r="H66" s="22">
        <f>F66 * G66 * 18243.892278</f>
        <v>182.43892277999998</v>
      </c>
      <c r="I66" s="22">
        <f>F66 * G66 * 32777.69895</f>
        <v>327.77698950000001</v>
      </c>
      <c r="J66" s="22">
        <f>F66 * G66 * 0</f>
        <v>0</v>
      </c>
      <c r="K66" s="22">
        <f>F66 * G66 * 17368.185449</f>
        <v>173.68185449000001</v>
      </c>
      <c r="L66" s="22">
        <f>F66 * G66 * 7600.067567</f>
        <v>76.000675670000007</v>
      </c>
      <c r="M66" s="22">
        <f>F66 * G66 * 3648.778456</f>
        <v>36.487784560000001</v>
      </c>
      <c r="N66" s="26">
        <f>SUM(H66:M66)</f>
        <v>796.38622699999996</v>
      </c>
      <c r="O66" s="33">
        <v>0.25043592044025159</v>
      </c>
    </row>
    <row r="67" spans="2:15" s="14" customFormat="1" ht="12.75">
      <c r="B67" s="15"/>
      <c r="C67" s="16" t="s">
        <v>168</v>
      </c>
      <c r="D67" s="45" t="s">
        <v>169</v>
      </c>
      <c r="E67" s="45"/>
      <c r="F67" s="45"/>
      <c r="G67" s="45"/>
      <c r="H67" s="45"/>
      <c r="I67" s="45"/>
      <c r="J67" s="45"/>
      <c r="K67" s="45"/>
      <c r="L67" s="45"/>
      <c r="M67" s="45"/>
      <c r="N67" s="46"/>
      <c r="O67" s="33"/>
    </row>
    <row r="68" spans="2:15" ht="25.5">
      <c r="B68" s="17">
        <v>37</v>
      </c>
      <c r="C68" s="18" t="s">
        <v>170</v>
      </c>
      <c r="D68" s="19" t="s">
        <v>58</v>
      </c>
      <c r="E68" s="19" t="s">
        <v>61</v>
      </c>
      <c r="F68" s="20">
        <v>0.01</v>
      </c>
      <c r="G68" s="21">
        <v>0.1</v>
      </c>
      <c r="H68" s="22">
        <f>F68 * G68 * 11375.60342</f>
        <v>11.375603419999999</v>
      </c>
      <c r="I68" s="22">
        <f>F68 * G68 * 5622.98964</f>
        <v>5.6229896400000001</v>
      </c>
      <c r="J68" s="22">
        <f>F68 * G68 * 0</f>
        <v>0</v>
      </c>
      <c r="K68" s="22">
        <f>F68 * G68 * 10829.574456</f>
        <v>10.829574456000001</v>
      </c>
      <c r="L68" s="22">
        <f>F68 * G68 * 3175.89690499999</f>
        <v>3.1758969049999903</v>
      </c>
      <c r="M68" s="22">
        <f>F68 * G68 * 2275.120684</f>
        <v>2.275120684</v>
      </c>
      <c r="N68" s="26">
        <f>SUM(H68:M68)</f>
        <v>33.279185104999989</v>
      </c>
      <c r="O68" s="33">
        <v>1.0465152548742135E-2</v>
      </c>
    </row>
    <row r="69" spans="2:15">
      <c r="B69" s="17">
        <v>38</v>
      </c>
      <c r="C69" s="18" t="s">
        <v>171</v>
      </c>
      <c r="D69" s="19" t="s">
        <v>172</v>
      </c>
      <c r="E69" s="19" t="s">
        <v>173</v>
      </c>
      <c r="F69" s="20"/>
      <c r="G69" s="21">
        <v>0.2</v>
      </c>
      <c r="H69" s="22">
        <f>F69 * G69 * 11208.98088</f>
        <v>0</v>
      </c>
      <c r="I69" s="22">
        <f>F69 * G69 * 20253.4656</f>
        <v>0</v>
      </c>
      <c r="J69" s="22">
        <f>F69 * G69 * 0</f>
        <v>0</v>
      </c>
      <c r="K69" s="22">
        <f>F69 * G69 * 10670.949798</f>
        <v>0</v>
      </c>
      <c r="L69" s="22">
        <f>F69 * G69 * 4681.582804</f>
        <v>0</v>
      </c>
      <c r="M69" s="22">
        <f>F69 * G69 * 2241.796176</f>
        <v>0</v>
      </c>
      <c r="N69" s="26">
        <f>SUM(H69:M69)</f>
        <v>0</v>
      </c>
      <c r="O69" s="33">
        <v>0</v>
      </c>
    </row>
    <row r="70" spans="2:15">
      <c r="B70" s="17">
        <v>39</v>
      </c>
      <c r="C70" s="18" t="s">
        <v>174</v>
      </c>
      <c r="D70" s="19" t="s">
        <v>175</v>
      </c>
      <c r="E70" s="19" t="s">
        <v>176</v>
      </c>
      <c r="F70" s="20"/>
      <c r="G70" s="21">
        <v>0.1</v>
      </c>
      <c r="H70" s="22">
        <f>F70 * G70 * 12234.139528</f>
        <v>0</v>
      </c>
      <c r="I70" s="22">
        <f>F70 * G70 * 11125.803881</f>
        <v>0</v>
      </c>
      <c r="J70" s="22">
        <f>F70 * G70 * 0</f>
        <v>0</v>
      </c>
      <c r="K70" s="22">
        <f>F70 * G70 * 11646.9008299999</f>
        <v>0</v>
      </c>
      <c r="L70" s="22">
        <f>F70 * G70 * 3951.362412</f>
        <v>0</v>
      </c>
      <c r="M70" s="22">
        <f>F70 * G70 * 2446.827906</f>
        <v>0</v>
      </c>
      <c r="N70" s="26">
        <f>SUM(H70:M70)</f>
        <v>0</v>
      </c>
      <c r="O70" s="33">
        <v>0</v>
      </c>
    </row>
    <row r="71" spans="2:15" s="11" customFormat="1" ht="15">
      <c r="B71" s="12"/>
      <c r="C71" s="13" t="s">
        <v>177</v>
      </c>
      <c r="D71" s="43" t="s">
        <v>178</v>
      </c>
      <c r="E71" s="43"/>
      <c r="F71" s="43"/>
      <c r="G71" s="43"/>
      <c r="H71" s="43"/>
      <c r="I71" s="43"/>
      <c r="J71" s="43"/>
      <c r="K71" s="43"/>
      <c r="L71" s="43"/>
      <c r="M71" s="43"/>
      <c r="N71" s="44"/>
      <c r="O71" s="33"/>
    </row>
    <row r="72" spans="2:15" s="14" customFormat="1" ht="12.75">
      <c r="B72" s="15"/>
      <c r="C72" s="16" t="s">
        <v>179</v>
      </c>
      <c r="D72" s="45" t="s">
        <v>180</v>
      </c>
      <c r="E72" s="45"/>
      <c r="F72" s="45"/>
      <c r="G72" s="45"/>
      <c r="H72" s="45"/>
      <c r="I72" s="45"/>
      <c r="J72" s="45"/>
      <c r="K72" s="45"/>
      <c r="L72" s="45"/>
      <c r="M72" s="45"/>
      <c r="N72" s="46"/>
      <c r="O72" s="33"/>
    </row>
    <row r="73" spans="2:15" ht="38.25">
      <c r="B73" s="17">
        <v>40</v>
      </c>
      <c r="C73" s="18" t="s">
        <v>181</v>
      </c>
      <c r="D73" s="19" t="s">
        <v>182</v>
      </c>
      <c r="E73" s="19" t="s">
        <v>183</v>
      </c>
      <c r="F73" s="20">
        <v>0.01</v>
      </c>
      <c r="G73" s="21">
        <v>0.2</v>
      </c>
      <c r="H73" s="22">
        <f>F73 * G73 * 16589.291702</f>
        <v>33.178583404000001</v>
      </c>
      <c r="I73" s="22">
        <f>F73 * G73 * 13708.955158</f>
        <v>27.417910316</v>
      </c>
      <c r="J73" s="22">
        <f t="shared" ref="J73:J78" si="2">F73 * G73 * 0</f>
        <v>0</v>
      </c>
      <c r="K73" s="22">
        <f>F73 * G73 * 15793.0057</f>
        <v>31.5860114</v>
      </c>
      <c r="L73" s="22">
        <f>F73 * G73 * 5212.661201</f>
        <v>10.425322402000001</v>
      </c>
      <c r="M73" s="22">
        <f>F73 * G73 * 3317.85834</f>
        <v>6.6357166800000007</v>
      </c>
      <c r="N73" s="26">
        <f t="shared" ref="N73:N81" si="3">SUM(H73:M73)</f>
        <v>109.24354420200001</v>
      </c>
      <c r="O73" s="33">
        <v>3.4353315786792453E-2</v>
      </c>
    </row>
    <row r="74" spans="2:15" ht="25.5">
      <c r="B74" s="17">
        <v>41</v>
      </c>
      <c r="C74" s="18" t="s">
        <v>184</v>
      </c>
      <c r="D74" s="19" t="s">
        <v>185</v>
      </c>
      <c r="E74" s="19" t="s">
        <v>186</v>
      </c>
      <c r="F74" s="20">
        <v>0.1</v>
      </c>
      <c r="G74" s="21">
        <v>1</v>
      </c>
      <c r="H74" s="22">
        <f>F74 * G74 * 1365.718864</f>
        <v>136.57188640000001</v>
      </c>
      <c r="I74" s="22">
        <f>F74 * G74 * 333.984106</f>
        <v>33.398410599999998</v>
      </c>
      <c r="J74" s="22">
        <f t="shared" si="2"/>
        <v>0</v>
      </c>
      <c r="K74" s="22">
        <f>F74 * G74 * 1300.16435899999</f>
        <v>130.01643589999901</v>
      </c>
      <c r="L74" s="22">
        <f>F74 * G74 * 345.302672</f>
        <v>34.530267199999997</v>
      </c>
      <c r="M74" s="22">
        <f>F74 * G74 * 273.143773</f>
        <v>27.314377300000004</v>
      </c>
      <c r="N74" s="26">
        <f t="shared" si="3"/>
        <v>361.83137739999898</v>
      </c>
      <c r="O74" s="33">
        <v>0.11378345201257829</v>
      </c>
    </row>
    <row r="75" spans="2:15">
      <c r="B75" s="17">
        <v>42</v>
      </c>
      <c r="C75" s="18" t="s">
        <v>187</v>
      </c>
      <c r="D75" s="19" t="s">
        <v>188</v>
      </c>
      <c r="E75" s="19" t="s">
        <v>189</v>
      </c>
      <c r="F75" s="20">
        <v>1</v>
      </c>
      <c r="G75" s="21">
        <v>1</v>
      </c>
      <c r="H75" s="22">
        <f>F75 * G75 * 118.868123</f>
        <v>118.868123</v>
      </c>
      <c r="I75" s="22">
        <f>F75 * G75 * 85.880167</f>
        <v>85.880167</v>
      </c>
      <c r="J75" s="22">
        <f t="shared" si="2"/>
        <v>0</v>
      </c>
      <c r="K75" s="22">
        <f>F75 * G75 * 113.162453</f>
        <v>113.162453</v>
      </c>
      <c r="L75" s="22">
        <f>F75 * G75 * 36.0477009999999</f>
        <v>36.047700999999897</v>
      </c>
      <c r="M75" s="22">
        <f>F75 * G75 * 23.773625</f>
        <v>23.773624999999999</v>
      </c>
      <c r="N75" s="26">
        <f t="shared" si="3"/>
        <v>377.73206899999991</v>
      </c>
      <c r="O75" s="33">
        <v>0.11878366949685532</v>
      </c>
    </row>
    <row r="76" spans="2:15">
      <c r="B76" s="17">
        <v>43</v>
      </c>
      <c r="C76" s="18" t="s">
        <v>190</v>
      </c>
      <c r="D76" s="19" t="s">
        <v>191</v>
      </c>
      <c r="E76" s="19" t="s">
        <v>192</v>
      </c>
      <c r="F76" s="20">
        <v>1</v>
      </c>
      <c r="G76" s="21">
        <v>1</v>
      </c>
      <c r="H76" s="22">
        <f>F76 * G76 * 33.626943</f>
        <v>33.626942999999997</v>
      </c>
      <c r="I76" s="22">
        <f>F76 * G76 * 104.238254</f>
        <v>104.238254</v>
      </c>
      <c r="J76" s="22">
        <f t="shared" si="2"/>
        <v>0</v>
      </c>
      <c r="K76" s="22">
        <f>F76 * G76 * 32.01285</f>
        <v>32.01285</v>
      </c>
      <c r="L76" s="22">
        <f>F76 * G76 * 18.631662</f>
        <v>18.631661999999999</v>
      </c>
      <c r="M76" s="22">
        <f>F76 * G76 * 6.725389</f>
        <v>6.7253889999999998</v>
      </c>
      <c r="N76" s="26">
        <f t="shared" si="3"/>
        <v>195.23509799999999</v>
      </c>
      <c r="O76" s="33">
        <v>6.1394684905660378E-2</v>
      </c>
    </row>
    <row r="77" spans="2:15">
      <c r="B77" s="17">
        <v>44</v>
      </c>
      <c r="C77" s="18" t="s">
        <v>193</v>
      </c>
      <c r="D77" s="19" t="s">
        <v>194</v>
      </c>
      <c r="E77" s="19" t="s">
        <v>195</v>
      </c>
      <c r="F77" s="20">
        <v>0.01</v>
      </c>
      <c r="G77" s="21">
        <v>1</v>
      </c>
      <c r="H77" s="22">
        <f>F77 * G77 * 23942.38316</f>
        <v>239.42383160000003</v>
      </c>
      <c r="I77" s="22">
        <f>F77 * G77 * 79511.414227</f>
        <v>795.11414227</v>
      </c>
      <c r="J77" s="22">
        <f t="shared" si="2"/>
        <v>0</v>
      </c>
      <c r="K77" s="22">
        <f>F77 * G77 * 22793.148768</f>
        <v>227.93148768</v>
      </c>
      <c r="L77" s="22">
        <f>F77 * G77 * 13824.237104</f>
        <v>138.24237103999999</v>
      </c>
      <c r="M77" s="22">
        <f>F77 * G77 * 4788.476632</f>
        <v>47.884766319999997</v>
      </c>
      <c r="N77" s="26">
        <f t="shared" si="3"/>
        <v>1448.59659891</v>
      </c>
      <c r="O77" s="33">
        <v>0.45553352166981131</v>
      </c>
    </row>
    <row r="78" spans="2:15">
      <c r="B78" s="17">
        <v>45</v>
      </c>
      <c r="C78" s="18" t="s">
        <v>196</v>
      </c>
      <c r="D78" s="19" t="s">
        <v>197</v>
      </c>
      <c r="E78" s="19" t="s">
        <v>80</v>
      </c>
      <c r="F78" s="20">
        <v>0.08</v>
      </c>
      <c r="G78" s="21">
        <v>0.2</v>
      </c>
      <c r="H78" s="22">
        <f>F78 * G78 * 11375.60342</f>
        <v>182.00965471999999</v>
      </c>
      <c r="I78" s="22">
        <f>F78 * G78 * 4845.487643</f>
        <v>77.527802288000004</v>
      </c>
      <c r="J78" s="22">
        <f t="shared" si="2"/>
        <v>0</v>
      </c>
      <c r="K78" s="22">
        <f>F78 * G78 * 10829.574456</f>
        <v>173.27319129600002</v>
      </c>
      <c r="L78" s="22">
        <f>F78 * G78 * 3093.870444</f>
        <v>49.501927104000004</v>
      </c>
      <c r="M78" s="22">
        <f>F78 * G78 * 2275.120684</f>
        <v>36.401930944</v>
      </c>
      <c r="N78" s="26">
        <f t="shared" si="3"/>
        <v>518.71450635199994</v>
      </c>
      <c r="O78" s="33">
        <v>0.16311776929308175</v>
      </c>
    </row>
    <row r="79" spans="2:15">
      <c r="B79" s="17">
        <v>46</v>
      </c>
      <c r="C79" s="18" t="s">
        <v>198</v>
      </c>
      <c r="D79" s="19" t="s">
        <v>199</v>
      </c>
      <c r="E79" s="19" t="s">
        <v>200</v>
      </c>
      <c r="F79" s="20">
        <v>1</v>
      </c>
      <c r="G79" s="21">
        <v>1</v>
      </c>
      <c r="H79" s="22">
        <f>F79 * G79 * 289.29151</f>
        <v>289.29151000000002</v>
      </c>
      <c r="I79" s="22">
        <f>F79 * G79 * 2880.83556</f>
        <v>2880.83556</v>
      </c>
      <c r="J79" s="22">
        <f>F79 * G79 * 7.467328</f>
        <v>7.4673280000000002</v>
      </c>
      <c r="K79" s="22">
        <f>F79 * G79 * 275.405518</f>
        <v>275.40551799999997</v>
      </c>
      <c r="L79" s="22">
        <f>F79 * G79 * 370.395542</f>
        <v>370.39554199999998</v>
      </c>
      <c r="M79" s="22">
        <f>F79 * G79 * 57.858302</f>
        <v>57.858302000000002</v>
      </c>
      <c r="N79" s="26">
        <f t="shared" si="3"/>
        <v>3881.2537600000001</v>
      </c>
      <c r="O79" s="33">
        <v>1.2205200503144653</v>
      </c>
    </row>
    <row r="80" spans="2:15">
      <c r="B80" s="17">
        <v>47</v>
      </c>
      <c r="C80" s="18" t="s">
        <v>201</v>
      </c>
      <c r="D80" s="19" t="s">
        <v>202</v>
      </c>
      <c r="E80" s="19" t="s">
        <v>203</v>
      </c>
      <c r="F80" s="20">
        <v>1</v>
      </c>
      <c r="G80" s="21">
        <v>1</v>
      </c>
      <c r="H80" s="22">
        <f>F80 * G80 * 70.368205</f>
        <v>70.368205000000003</v>
      </c>
      <c r="I80" s="22">
        <f>F80 * G80 * 2136.02592</f>
        <v>2136.02592</v>
      </c>
      <c r="J80" s="22">
        <f>F80 * G80 * 1.3464</f>
        <v>1.3464</v>
      </c>
      <c r="K80" s="22">
        <f>F80 * G80 * 66.990531</f>
        <v>66.990531000000004</v>
      </c>
      <c r="L80" s="22">
        <f>F80 * G80 * 241.468894999999</f>
        <v>241.46889499999901</v>
      </c>
      <c r="M80" s="22">
        <f>F80 * G80 * 14.073641</f>
        <v>14.073641</v>
      </c>
      <c r="N80" s="26">
        <f t="shared" si="3"/>
        <v>2530.2735919999991</v>
      </c>
      <c r="O80" s="33">
        <v>0.79568351949685512</v>
      </c>
    </row>
    <row r="81" spans="2:15" ht="25.5">
      <c r="B81" s="17">
        <v>48</v>
      </c>
      <c r="C81" s="18" t="s">
        <v>204</v>
      </c>
      <c r="D81" s="19" t="s">
        <v>205</v>
      </c>
      <c r="E81" s="19" t="s">
        <v>206</v>
      </c>
      <c r="F81" s="20">
        <v>1</v>
      </c>
      <c r="G81" s="21">
        <v>0.2</v>
      </c>
      <c r="H81" s="22">
        <f>F81 * G81 * 526.611153</f>
        <v>105.3222306</v>
      </c>
      <c r="I81" s="22">
        <f>F81 * G81 * 2010.938661</f>
        <v>402.18773220000003</v>
      </c>
      <c r="J81" s="22">
        <f>F81 * G81 * 0</f>
        <v>0</v>
      </c>
      <c r="K81" s="22">
        <f>F81 * G81 * 501.333817</f>
        <v>100.2667634</v>
      </c>
      <c r="L81" s="22">
        <f>F81 * G81 * 331.713718</f>
        <v>66.342743599999991</v>
      </c>
      <c r="M81" s="22">
        <f>F81 * G81 * 105.322231</f>
        <v>21.064446200000003</v>
      </c>
      <c r="N81" s="26">
        <f t="shared" si="3"/>
        <v>695.18391599999995</v>
      </c>
      <c r="O81" s="33">
        <v>0.21861129433962265</v>
      </c>
    </row>
    <row r="82" spans="2:15" s="14" customFormat="1" ht="12.75">
      <c r="B82" s="15"/>
      <c r="C82" s="16" t="s">
        <v>207</v>
      </c>
      <c r="D82" s="45" t="s">
        <v>208</v>
      </c>
      <c r="E82" s="45"/>
      <c r="F82" s="45"/>
      <c r="G82" s="45"/>
      <c r="H82" s="45"/>
      <c r="I82" s="45"/>
      <c r="J82" s="45"/>
      <c r="K82" s="45"/>
      <c r="L82" s="45"/>
      <c r="M82" s="45"/>
      <c r="N82" s="46"/>
      <c r="O82" s="33"/>
    </row>
    <row r="83" spans="2:15">
      <c r="B83" s="17">
        <v>49</v>
      </c>
      <c r="C83" s="18" t="s">
        <v>209</v>
      </c>
      <c r="D83" s="19" t="s">
        <v>210</v>
      </c>
      <c r="E83" s="19" t="s">
        <v>206</v>
      </c>
      <c r="F83" s="20">
        <v>1</v>
      </c>
      <c r="G83" s="21">
        <v>0.2</v>
      </c>
      <c r="H83" s="22">
        <f>F83 * G83 * 526.611153</f>
        <v>105.3222306</v>
      </c>
      <c r="I83" s="22">
        <f>F83 * G83 * 1873.074501</f>
        <v>374.61490020000002</v>
      </c>
      <c r="J83" s="22">
        <f>F83 * G83 * 0</f>
        <v>0</v>
      </c>
      <c r="K83" s="22">
        <f>F83 * G83 * 501.333817</f>
        <v>100.2667634</v>
      </c>
      <c r="L83" s="22">
        <f>F83 * G83 * 317.169049999999</f>
        <v>63.433809999999802</v>
      </c>
      <c r="M83" s="22">
        <f>F83 * G83 * 105.322231</f>
        <v>21.064446200000003</v>
      </c>
      <c r="N83" s="26">
        <f>SUM(H83:M83)</f>
        <v>664.70215039999982</v>
      </c>
      <c r="O83" s="33">
        <v>0.20902583345911943</v>
      </c>
    </row>
    <row r="84" spans="2:15" s="14" customFormat="1" ht="12.75">
      <c r="B84" s="15"/>
      <c r="C84" s="16" t="s">
        <v>211</v>
      </c>
      <c r="D84" s="45" t="s">
        <v>212</v>
      </c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33"/>
    </row>
    <row r="85" spans="2:15" ht="25.5">
      <c r="B85" s="17">
        <v>50</v>
      </c>
      <c r="C85" s="18" t="s">
        <v>213</v>
      </c>
      <c r="D85" s="19" t="s">
        <v>214</v>
      </c>
      <c r="E85" s="19" t="s">
        <v>215</v>
      </c>
      <c r="F85" s="20">
        <v>1</v>
      </c>
      <c r="G85" s="21">
        <v>0.2</v>
      </c>
      <c r="H85" s="22">
        <f>F85 * G85 * 247.487493</f>
        <v>49.4974986</v>
      </c>
      <c r="I85" s="22">
        <f>F85 * G85 * 751.358621</f>
        <v>150.27172419999999</v>
      </c>
      <c r="J85" s="22">
        <f>F85 * G85 * 0</f>
        <v>0</v>
      </c>
      <c r="K85" s="22">
        <f>F85 * G85 * 235.608093</f>
        <v>47.121618600000005</v>
      </c>
      <c r="L85" s="22">
        <f>F85 * G85 * 135.456905</f>
        <v>27.091381000000002</v>
      </c>
      <c r="M85" s="22">
        <f>F85 * G85 * 49.497499</f>
        <v>9.899499800000001</v>
      </c>
      <c r="N85" s="26">
        <f>SUM(H85:M85)</f>
        <v>283.88172220000001</v>
      </c>
      <c r="O85" s="33">
        <v>8.9270981823899379E-2</v>
      </c>
    </row>
    <row r="86" spans="2:15" s="11" customFormat="1" ht="15">
      <c r="B86" s="12"/>
      <c r="C86" s="13" t="s">
        <v>217</v>
      </c>
      <c r="D86" s="43" t="s">
        <v>218</v>
      </c>
      <c r="E86" s="43"/>
      <c r="F86" s="43"/>
      <c r="G86" s="43"/>
      <c r="H86" s="43"/>
      <c r="I86" s="43"/>
      <c r="J86" s="43"/>
      <c r="K86" s="43"/>
      <c r="L86" s="43"/>
      <c r="M86" s="43"/>
      <c r="N86" s="44"/>
      <c r="O86" s="33"/>
    </row>
    <row r="87" spans="2:15" s="14" customFormat="1" ht="12.75">
      <c r="B87" s="15"/>
      <c r="C87" s="16" t="s">
        <v>219</v>
      </c>
      <c r="D87" s="45" t="s">
        <v>220</v>
      </c>
      <c r="E87" s="45"/>
      <c r="F87" s="45"/>
      <c r="G87" s="45"/>
      <c r="H87" s="45"/>
      <c r="I87" s="45"/>
      <c r="J87" s="45"/>
      <c r="K87" s="45"/>
      <c r="L87" s="45"/>
      <c r="M87" s="45"/>
      <c r="N87" s="46"/>
      <c r="O87" s="33"/>
    </row>
    <row r="88" spans="2:15" s="14" customFormat="1" ht="12.75">
      <c r="B88" s="15"/>
      <c r="C88" s="16" t="s">
        <v>221</v>
      </c>
      <c r="D88" s="47" t="s">
        <v>222</v>
      </c>
      <c r="E88" s="47"/>
      <c r="F88" s="47"/>
      <c r="G88" s="47"/>
      <c r="H88" s="47"/>
      <c r="I88" s="47"/>
      <c r="J88" s="47"/>
      <c r="K88" s="47"/>
      <c r="L88" s="47"/>
      <c r="M88" s="47"/>
      <c r="N88" s="48"/>
      <c r="O88" s="33"/>
    </row>
    <row r="89" spans="2:15" ht="25.5">
      <c r="B89" s="17">
        <v>51</v>
      </c>
      <c r="C89" s="18" t="s">
        <v>223</v>
      </c>
      <c r="D89" s="19" t="s">
        <v>224</v>
      </c>
      <c r="E89" s="19" t="s">
        <v>225</v>
      </c>
      <c r="F89" s="20">
        <v>0.01</v>
      </c>
      <c r="G89" s="21">
        <v>0.2</v>
      </c>
      <c r="H89" s="22">
        <f>F89 * G89 * 14884.978446</f>
        <v>29.769956892</v>
      </c>
      <c r="I89" s="22">
        <f>F89 * G89 * 33053.058098</f>
        <v>66.106116196000002</v>
      </c>
      <c r="J89" s="22">
        <f>F89 * G89 * 0</f>
        <v>0</v>
      </c>
      <c r="K89" s="22">
        <f>F89 * G89 * 14170.4994809999</f>
        <v>28.340998961999802</v>
      </c>
      <c r="L89" s="22">
        <f>F89 * G89 * 6866.523596</f>
        <v>13.733047192000001</v>
      </c>
      <c r="M89" s="22">
        <f>F89 * G89 * 2976.995689</f>
        <v>5.9539913779999996</v>
      </c>
      <c r="N89" s="26">
        <f>SUM(H89:M89)</f>
        <v>143.90411061999981</v>
      </c>
      <c r="O89" s="33">
        <v>4.525286497484271E-2</v>
      </c>
    </row>
    <row r="90" spans="2:15" ht="25.5">
      <c r="B90" s="17">
        <v>52</v>
      </c>
      <c r="C90" s="18" t="s">
        <v>226</v>
      </c>
      <c r="D90" s="19" t="s">
        <v>227</v>
      </c>
      <c r="E90" s="19" t="s">
        <v>225</v>
      </c>
      <c r="F90" s="20">
        <v>0.01</v>
      </c>
      <c r="G90" s="21">
        <v>0.2</v>
      </c>
      <c r="H90" s="22">
        <f>F90 * G90 * 16029.976788</f>
        <v>32.059953575999998</v>
      </c>
      <c r="I90" s="22">
        <f>F90 * G90 * 52982.562098</f>
        <v>105.965124196</v>
      </c>
      <c r="J90" s="22">
        <f>F90 * G90 * 0</f>
        <v>0</v>
      </c>
      <c r="K90" s="22">
        <f>F90 * G90 * 15260.537902</f>
        <v>30.521075804000002</v>
      </c>
      <c r="L90" s="22">
        <f>F90 * G90 * 9229.042112</f>
        <v>18.458084224</v>
      </c>
      <c r="M90" s="22">
        <f>F90 * G90 * 3205.995358</f>
        <v>6.411990716</v>
      </c>
      <c r="N90" s="26">
        <f>SUM(H90:M90)</f>
        <v>193.41622851599999</v>
      </c>
      <c r="O90" s="33">
        <v>6.0822713369811321E-2</v>
      </c>
    </row>
    <row r="91" spans="2:15" ht="25.5">
      <c r="B91" s="17">
        <v>53</v>
      </c>
      <c r="C91" s="18" t="s">
        <v>228</v>
      </c>
      <c r="D91" s="19" t="s">
        <v>229</v>
      </c>
      <c r="E91" s="19" t="s">
        <v>225</v>
      </c>
      <c r="F91" s="20">
        <v>5.0000000000000001E-3</v>
      </c>
      <c r="G91" s="21">
        <v>0.2</v>
      </c>
      <c r="H91" s="22">
        <f>F91 * G91 * 35330.068841</f>
        <v>35.330068840999999</v>
      </c>
      <c r="I91" s="22">
        <f>F91 * G91 * 89866.903789</f>
        <v>89.866903789000006</v>
      </c>
      <c r="J91" s="22">
        <f>F91 * G91 * 0</f>
        <v>0</v>
      </c>
      <c r="K91" s="22">
        <f>F91 * G91 * 33634.225537</f>
        <v>33.634225536999999</v>
      </c>
      <c r="L91" s="22">
        <f>F91 * G91 * 17502.155859</f>
        <v>17.502155858999998</v>
      </c>
      <c r="M91" s="22">
        <f>F91 * G91 * 7066.013768</f>
        <v>7.0660137680000004</v>
      </c>
      <c r="N91" s="26">
        <f>SUM(H91:M91)</f>
        <v>183.399367794</v>
      </c>
      <c r="O91" s="33">
        <v>5.7672757167924527E-2</v>
      </c>
    </row>
    <row r="92" spans="2:15" s="14" customFormat="1" ht="12.75">
      <c r="B92" s="15"/>
      <c r="C92" s="16" t="s">
        <v>230</v>
      </c>
      <c r="D92" s="45" t="s">
        <v>231</v>
      </c>
      <c r="E92" s="45"/>
      <c r="F92" s="45"/>
      <c r="G92" s="45"/>
      <c r="H92" s="45"/>
      <c r="I92" s="45"/>
      <c r="J92" s="45"/>
      <c r="K92" s="45"/>
      <c r="L92" s="45"/>
      <c r="M92" s="45"/>
      <c r="N92" s="46"/>
      <c r="O92" s="33"/>
    </row>
    <row r="93" spans="2:15" s="14" customFormat="1" ht="12.75">
      <c r="B93" s="15"/>
      <c r="C93" s="16" t="s">
        <v>233</v>
      </c>
      <c r="D93" s="47" t="s">
        <v>234</v>
      </c>
      <c r="E93" s="47"/>
      <c r="F93" s="47"/>
      <c r="G93" s="47"/>
      <c r="H93" s="47"/>
      <c r="I93" s="47"/>
      <c r="J93" s="47"/>
      <c r="K93" s="47"/>
      <c r="L93" s="47"/>
      <c r="M93" s="47"/>
      <c r="N93" s="48"/>
      <c r="O93" s="33"/>
    </row>
    <row r="94" spans="2:15" ht="25.5">
      <c r="B94" s="17">
        <v>54</v>
      </c>
      <c r="C94" s="18" t="s">
        <v>235</v>
      </c>
      <c r="D94" s="19" t="s">
        <v>236</v>
      </c>
      <c r="E94" s="19" t="s">
        <v>237</v>
      </c>
      <c r="F94" s="20">
        <v>0.01</v>
      </c>
      <c r="G94" s="21">
        <v>1</v>
      </c>
      <c r="H94" s="22">
        <f>F94 * G94 * 65370.776492</f>
        <v>653.70776491999993</v>
      </c>
      <c r="I94" s="22">
        <f>F94 * G94 * 2874.438408</f>
        <v>28.74438408</v>
      </c>
      <c r="J94" s="22">
        <f>F94 * G94 * 0</f>
        <v>0</v>
      </c>
      <c r="K94" s="22">
        <f>F94 * G94 * 62232.979221</f>
        <v>622.32979221000005</v>
      </c>
      <c r="L94" s="22">
        <f>F94 * G94 * 15144.772864</f>
        <v>151.44772864000001</v>
      </c>
      <c r="M94" s="22">
        <f>F94 * G94 * 13074.155298</f>
        <v>130.74155297999999</v>
      </c>
      <c r="N94" s="26">
        <f>SUM(H94:M94)</f>
        <v>1586.97122283</v>
      </c>
      <c r="O94" s="33">
        <v>0.49904755434905662</v>
      </c>
    </row>
    <row r="95" spans="2:15" s="14" customFormat="1" ht="12.75">
      <c r="B95" s="15"/>
      <c r="C95" s="16" t="s">
        <v>238</v>
      </c>
      <c r="D95" s="45" t="s">
        <v>239</v>
      </c>
      <c r="E95" s="45"/>
      <c r="F95" s="45"/>
      <c r="G95" s="45"/>
      <c r="H95" s="45"/>
      <c r="I95" s="45"/>
      <c r="J95" s="45"/>
      <c r="K95" s="45"/>
      <c r="L95" s="45"/>
      <c r="M95" s="45"/>
      <c r="N95" s="46"/>
      <c r="O95" s="33"/>
    </row>
    <row r="96" spans="2:15">
      <c r="B96" s="17">
        <v>55</v>
      </c>
      <c r="C96" s="18" t="s">
        <v>240</v>
      </c>
      <c r="D96" s="19" t="s">
        <v>241</v>
      </c>
      <c r="E96" s="19" t="s">
        <v>242</v>
      </c>
      <c r="F96" s="20">
        <v>1</v>
      </c>
      <c r="G96" s="21">
        <v>0.1</v>
      </c>
      <c r="H96" s="22">
        <f>F96 * G96 * 526.054674</f>
        <v>52.605467400000002</v>
      </c>
      <c r="I96" s="22">
        <f>F96 * G96 * 42875.042359</f>
        <v>4287.5042358999999</v>
      </c>
      <c r="J96" s="22">
        <f>F96 * G96 * 0</f>
        <v>0</v>
      </c>
      <c r="K96" s="22">
        <f>F96 * G96 * 500.80405</f>
        <v>50.080405000000006</v>
      </c>
      <c r="L96" s="22">
        <f>F96 * G96 * 4642.750318</f>
        <v>464.27503180000008</v>
      </c>
      <c r="M96" s="22">
        <f>F96 * G96 * 105.210935</f>
        <v>10.521093500000001</v>
      </c>
      <c r="N96" s="26">
        <f>SUM(H96:M96)</f>
        <v>4864.9862335999987</v>
      </c>
      <c r="O96" s="33">
        <v>1.529869884779874</v>
      </c>
    </row>
    <row r="97" spans="2:15">
      <c r="B97" s="17">
        <v>56</v>
      </c>
      <c r="C97" s="18" t="s">
        <v>243</v>
      </c>
      <c r="D97" s="19" t="s">
        <v>244</v>
      </c>
      <c r="E97" s="19" t="s">
        <v>242</v>
      </c>
      <c r="F97" s="20">
        <v>1</v>
      </c>
      <c r="G97" s="21">
        <v>0.1</v>
      </c>
      <c r="H97" s="22">
        <f>F97 * G97 * 639.864579</f>
        <v>63.986457900000005</v>
      </c>
      <c r="I97" s="22">
        <f>F97 * G97 * 144609.6</f>
        <v>14460.960000000001</v>
      </c>
      <c r="J97" s="22">
        <f>F97 * G97 * 0</f>
        <v>0</v>
      </c>
      <c r="K97" s="22">
        <f>F97 * G97 * 609.151079</f>
        <v>60.915107900000002</v>
      </c>
      <c r="L97" s="22">
        <f>F97 * G97 * 15401.585095</f>
        <v>1540.1585095</v>
      </c>
      <c r="M97" s="22">
        <f>F97 * G97 * 127.972916</f>
        <v>12.797291600000001</v>
      </c>
      <c r="N97" s="26">
        <f>SUM(H97:M97)</f>
        <v>16138.817366900003</v>
      </c>
      <c r="O97" s="33">
        <v>5.0750998009119508</v>
      </c>
    </row>
    <row r="98" spans="2:15" s="11" customFormat="1" ht="15">
      <c r="B98" s="12"/>
      <c r="C98" s="13" t="s">
        <v>247</v>
      </c>
      <c r="D98" s="43" t="s">
        <v>248</v>
      </c>
      <c r="E98" s="43"/>
      <c r="F98" s="43"/>
      <c r="G98" s="43"/>
      <c r="H98" s="43"/>
      <c r="I98" s="43"/>
      <c r="J98" s="43"/>
      <c r="K98" s="43"/>
      <c r="L98" s="43"/>
      <c r="M98" s="43"/>
      <c r="N98" s="44"/>
      <c r="O98" s="33"/>
    </row>
    <row r="99" spans="2:15" s="14" customFormat="1" ht="12.75">
      <c r="B99" s="15"/>
      <c r="C99" s="16" t="s">
        <v>249</v>
      </c>
      <c r="D99" s="45" t="s">
        <v>250</v>
      </c>
      <c r="E99" s="45"/>
      <c r="F99" s="45"/>
      <c r="G99" s="45"/>
      <c r="H99" s="45"/>
      <c r="I99" s="45"/>
      <c r="J99" s="45"/>
      <c r="K99" s="45"/>
      <c r="L99" s="45"/>
      <c r="M99" s="45"/>
      <c r="N99" s="46"/>
      <c r="O99" s="33"/>
    </row>
    <row r="100" spans="2:15" s="14" customFormat="1" ht="12.75">
      <c r="B100" s="15"/>
      <c r="C100" s="16" t="s">
        <v>251</v>
      </c>
      <c r="D100" s="47" t="s">
        <v>252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8"/>
      <c r="O100" s="33"/>
    </row>
    <row r="101" spans="2:15" ht="38.25">
      <c r="B101" s="17">
        <v>57</v>
      </c>
      <c r="C101" s="18" t="s">
        <v>253</v>
      </c>
      <c r="D101" s="19" t="s">
        <v>254</v>
      </c>
      <c r="E101" s="19" t="s">
        <v>255</v>
      </c>
      <c r="F101" s="20">
        <v>0.01</v>
      </c>
      <c r="G101" s="21">
        <v>1</v>
      </c>
      <c r="H101" s="22">
        <f>F101 * G101 * 27800.559744</f>
        <v>278.00559743999997</v>
      </c>
      <c r="I101" s="22">
        <f>F101 * G101 * 35999.994921</f>
        <v>359.99994921000001</v>
      </c>
      <c r="J101" s="22">
        <f>F101 * G101 * 0</f>
        <v>0</v>
      </c>
      <c r="K101" s="22">
        <f>F101 * G101 * 26466.132877</f>
        <v>264.66132877000001</v>
      </c>
      <c r="L101" s="22">
        <f>F101 * G101 * 10109.727346</f>
        <v>101.09727346</v>
      </c>
      <c r="M101" s="22">
        <f>F101 * G101 * 5560.111949</f>
        <v>55.601119490000002</v>
      </c>
      <c r="N101" s="26">
        <f>SUM(H101:M101)</f>
        <v>1059.36526837</v>
      </c>
      <c r="O101" s="33">
        <v>0.33313373219182391</v>
      </c>
    </row>
    <row r="102" spans="2:15" ht="38.25">
      <c r="B102" s="17">
        <v>58</v>
      </c>
      <c r="C102" s="18" t="s">
        <v>256</v>
      </c>
      <c r="D102" s="19" t="s">
        <v>257</v>
      </c>
      <c r="E102" s="19" t="s">
        <v>255</v>
      </c>
      <c r="F102" s="20">
        <v>0.01</v>
      </c>
      <c r="G102" s="21">
        <v>1</v>
      </c>
      <c r="H102" s="22">
        <f>F102 * G102 * 30892.055267</f>
        <v>308.92055267000001</v>
      </c>
      <c r="I102" s="22">
        <f>F102 * G102 * 48370.310861</f>
        <v>483.70310861000002</v>
      </c>
      <c r="J102" s="22">
        <f>F102 * G102 * 0</f>
        <v>0</v>
      </c>
      <c r="K102" s="22">
        <f>F102 * G102 * 29409.236615</f>
        <v>294.09236615000003</v>
      </c>
      <c r="L102" s="22">
        <f>F102 * G102 * 12116.6764549999</f>
        <v>121.16676454999902</v>
      </c>
      <c r="M102" s="22">
        <f>F102 * G102 * 6178.411053</f>
        <v>61.78411053</v>
      </c>
      <c r="N102" s="26">
        <f>SUM(H102:M102)</f>
        <v>1269.6669025099991</v>
      </c>
      <c r="O102" s="33">
        <v>0.39926632154402486</v>
      </c>
    </row>
    <row r="103" spans="2:15" s="14" customFormat="1" ht="12.75">
      <c r="B103" s="15"/>
      <c r="C103" s="16" t="s">
        <v>258</v>
      </c>
      <c r="D103" s="47" t="s">
        <v>259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48"/>
      <c r="O103" s="33"/>
    </row>
    <row r="104" spans="2:15" ht="38.25">
      <c r="B104" s="17">
        <v>59</v>
      </c>
      <c r="C104" s="18" t="s">
        <v>260</v>
      </c>
      <c r="D104" s="19" t="s">
        <v>261</v>
      </c>
      <c r="E104" s="19" t="s">
        <v>255</v>
      </c>
      <c r="F104" s="20">
        <v>0.01</v>
      </c>
      <c r="G104" s="21">
        <v>1</v>
      </c>
      <c r="H104" s="22">
        <f>F104 * G104 * 14884.978446</f>
        <v>148.84978446</v>
      </c>
      <c r="I104" s="22">
        <f>F104 * G104 * 33027.793932</f>
        <v>330.27793932000003</v>
      </c>
      <c r="J104" s="22">
        <f>F104 * G104 * 0</f>
        <v>0</v>
      </c>
      <c r="K104" s="22">
        <f>F104 * G104 * 14170.4994809999</f>
        <v>141.70499480999902</v>
      </c>
      <c r="L104" s="22">
        <f>F104 * G104 * 6863.858227</f>
        <v>68.638582270000001</v>
      </c>
      <c r="M104" s="22">
        <f>F104 * G104 * 2976.995689</f>
        <v>29.76995689</v>
      </c>
      <c r="N104" s="26">
        <f>SUM(H104:M104)</f>
        <v>719.24125774999902</v>
      </c>
      <c r="O104" s="33">
        <v>0.22617649614779844</v>
      </c>
    </row>
    <row r="105" spans="2:15" s="14" customFormat="1" ht="12.75">
      <c r="B105" s="15"/>
      <c r="C105" s="16" t="s">
        <v>262</v>
      </c>
      <c r="D105" s="47" t="s">
        <v>263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8"/>
      <c r="O105" s="33"/>
    </row>
    <row r="106" spans="2:15" ht="38.25">
      <c r="B106" s="17">
        <v>60</v>
      </c>
      <c r="C106" s="18" t="s">
        <v>264</v>
      </c>
      <c r="D106" s="19" t="s">
        <v>265</v>
      </c>
      <c r="E106" s="19" t="s">
        <v>266</v>
      </c>
      <c r="F106" s="20">
        <v>0.01</v>
      </c>
      <c r="G106" s="21">
        <v>1</v>
      </c>
      <c r="H106" s="22">
        <f>F106 * G106 * 8294.645851</f>
        <v>82.946458509999999</v>
      </c>
      <c r="I106" s="22">
        <f>F106 * G106 * 80378.50512</f>
        <v>803.7850512</v>
      </c>
      <c r="J106" s="22">
        <f>F106 * G106 * 0</f>
        <v>0</v>
      </c>
      <c r="K106" s="22">
        <f>F106 * G106 * 7896.50285</f>
        <v>78.965028500000003</v>
      </c>
      <c r="L106" s="22">
        <f>F106 * G106 * 10363.115506</f>
        <v>103.63115506</v>
      </c>
      <c r="M106" s="22">
        <f>F106 * G106 * 1658.92917</f>
        <v>16.5892917</v>
      </c>
      <c r="N106" s="26">
        <f>SUM(H106:M106)</f>
        <v>1085.9169849700002</v>
      </c>
      <c r="O106" s="33">
        <v>0.34148332860691832</v>
      </c>
    </row>
    <row r="107" spans="2:15" s="14" customFormat="1" ht="12.75">
      <c r="B107" s="15"/>
      <c r="C107" s="16" t="s">
        <v>267</v>
      </c>
      <c r="D107" s="47" t="s">
        <v>268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8"/>
      <c r="O107" s="33"/>
    </row>
    <row r="108" spans="2:15">
      <c r="B108" s="17">
        <v>61</v>
      </c>
      <c r="C108" s="18" t="s">
        <v>269</v>
      </c>
      <c r="D108" s="19" t="s">
        <v>270</v>
      </c>
      <c r="E108" s="19" t="s">
        <v>271</v>
      </c>
      <c r="F108" s="20">
        <v>0.01</v>
      </c>
      <c r="G108" s="21">
        <v>1</v>
      </c>
      <c r="H108" s="22">
        <f>F108 * G108 * 7258.542853</f>
        <v>72.585428530000002</v>
      </c>
      <c r="I108" s="22">
        <f>F108 * G108 * 9756.589459</f>
        <v>97.565894590000013</v>
      </c>
      <c r="J108" s="22">
        <f>F108 * G108 * 0</f>
        <v>0</v>
      </c>
      <c r="K108" s="22">
        <f>F108 * G108 * 6910.132796</f>
        <v>69.101327960000006</v>
      </c>
      <c r="L108" s="22">
        <f>F108 * G108 * 2677.270723</f>
        <v>26.772707230000002</v>
      </c>
      <c r="M108" s="22">
        <f>F108 * G108 * 1451.708571</f>
        <v>14.51708571</v>
      </c>
      <c r="N108" s="26">
        <f>SUM(H108:M108)</f>
        <v>280.54244402</v>
      </c>
      <c r="O108" s="33">
        <v>8.822089434591196E-2</v>
      </c>
    </row>
    <row r="109" spans="2:15" s="14" customFormat="1" ht="12.75">
      <c r="B109" s="15"/>
      <c r="C109" s="16" t="s">
        <v>272</v>
      </c>
      <c r="D109" s="47" t="s">
        <v>273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8"/>
      <c r="O109" s="33"/>
    </row>
    <row r="110" spans="2:15" ht="38.25">
      <c r="B110" s="17">
        <v>62</v>
      </c>
      <c r="C110" s="18" t="s">
        <v>274</v>
      </c>
      <c r="D110" s="19" t="s">
        <v>275</v>
      </c>
      <c r="E110" s="19" t="s">
        <v>276</v>
      </c>
      <c r="F110" s="20">
        <v>1</v>
      </c>
      <c r="G110" s="21">
        <v>1</v>
      </c>
      <c r="H110" s="22">
        <f>F110 * G110 * 29.14335</f>
        <v>29.143350000000002</v>
      </c>
      <c r="I110" s="22">
        <f>F110 * G110 * 4.880202</f>
        <v>4.8802019999999997</v>
      </c>
      <c r="J110" s="22">
        <f>F110 * G110 * 0</f>
        <v>0</v>
      </c>
      <c r="K110" s="22">
        <f>F110 * G110 * 27.74447</f>
        <v>27.74447</v>
      </c>
      <c r="L110" s="22">
        <f>F110 * G110 * 7.13145</f>
        <v>7.1314500000000001</v>
      </c>
      <c r="M110" s="22">
        <f>F110 * G110 * 5.82867</f>
        <v>5.8286699999999998</v>
      </c>
      <c r="N110" s="26">
        <f>SUM(H110:M110)</f>
        <v>74.728142000000005</v>
      </c>
      <c r="O110" s="33">
        <v>2.3499415723270443E-2</v>
      </c>
    </row>
    <row r="111" spans="2:15" s="14" customFormat="1" ht="12.75">
      <c r="B111" s="15"/>
      <c r="C111" s="16" t="s">
        <v>277</v>
      </c>
      <c r="D111" s="45" t="s">
        <v>278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6"/>
      <c r="O111" s="33"/>
    </row>
    <row r="112" spans="2:15" s="14" customFormat="1" ht="12.75">
      <c r="B112" s="15"/>
      <c r="C112" s="16" t="s">
        <v>279</v>
      </c>
      <c r="D112" s="47" t="s">
        <v>280</v>
      </c>
      <c r="E112" s="47"/>
      <c r="F112" s="47"/>
      <c r="G112" s="47"/>
      <c r="H112" s="47"/>
      <c r="I112" s="47"/>
      <c r="J112" s="47"/>
      <c r="K112" s="47"/>
      <c r="L112" s="47"/>
      <c r="M112" s="47"/>
      <c r="N112" s="48"/>
      <c r="O112" s="33"/>
    </row>
    <row r="113" spans="2:15" ht="25.5">
      <c r="B113" s="17">
        <v>63</v>
      </c>
      <c r="C113" s="18" t="s">
        <v>281</v>
      </c>
      <c r="D113" s="19" t="s">
        <v>282</v>
      </c>
      <c r="E113" s="19" t="s">
        <v>283</v>
      </c>
      <c r="F113" s="20">
        <v>1</v>
      </c>
      <c r="G113" s="21">
        <v>0.3</v>
      </c>
      <c r="H113" s="22">
        <f>F113 * G113 * 303.493081</f>
        <v>91.047924300000005</v>
      </c>
      <c r="I113" s="22">
        <f>F113 * G113 * 0</f>
        <v>0</v>
      </c>
      <c r="J113" s="22">
        <f t="shared" ref="J113:J118" si="4">F113 * G113 * 0</f>
        <v>0</v>
      </c>
      <c r="K113" s="22">
        <f>F113 * G113 * 288.925413</f>
        <v>86.6776239</v>
      </c>
      <c r="L113" s="22">
        <f>F113 * G113 * 68.903856</f>
        <v>20.671156800000002</v>
      </c>
      <c r="M113" s="22">
        <f>F113 * G113 * 60.698616</f>
        <v>18.209584799999998</v>
      </c>
      <c r="N113" s="26">
        <f t="shared" ref="N113:N118" si="5">SUM(H113:M113)</f>
        <v>216.60628979999998</v>
      </c>
      <c r="O113" s="33">
        <v>6.8115185471698106E-2</v>
      </c>
    </row>
    <row r="114" spans="2:15">
      <c r="B114" s="17">
        <v>64</v>
      </c>
      <c r="C114" s="18" t="s">
        <v>284</v>
      </c>
      <c r="D114" s="19" t="s">
        <v>285</v>
      </c>
      <c r="E114" s="19" t="s">
        <v>286</v>
      </c>
      <c r="F114" s="20">
        <v>1</v>
      </c>
      <c r="G114" s="21">
        <v>0.3</v>
      </c>
      <c r="H114" s="22">
        <f>F114 * G114 * 123.926341</f>
        <v>37.1779023</v>
      </c>
      <c r="I114" s="22">
        <f>F114 * G114 * 4060.8</f>
        <v>1218.24</v>
      </c>
      <c r="J114" s="22">
        <f t="shared" si="4"/>
        <v>0</v>
      </c>
      <c r="K114" s="22">
        <f>F114 * G114 * 117.977877</f>
        <v>35.393363100000002</v>
      </c>
      <c r="L114" s="22">
        <f>F114 * G114 * 456.55014</f>
        <v>136.96504199999998</v>
      </c>
      <c r="M114" s="22">
        <f>F114 * G114 * 24.785268</f>
        <v>7.4355803999999992</v>
      </c>
      <c r="N114" s="26">
        <f t="shared" si="5"/>
        <v>1435.2118877999999</v>
      </c>
      <c r="O114" s="33">
        <v>0.45132449301886784</v>
      </c>
    </row>
    <row r="115" spans="2:15">
      <c r="B115" s="17">
        <v>65</v>
      </c>
      <c r="C115" s="18" t="s">
        <v>287</v>
      </c>
      <c r="D115" s="19" t="s">
        <v>288</v>
      </c>
      <c r="E115" s="19" t="s">
        <v>286</v>
      </c>
      <c r="F115" s="20">
        <v>1</v>
      </c>
      <c r="G115" s="21">
        <v>0.3</v>
      </c>
      <c r="H115" s="22">
        <f>F115 * G115 * 123.926341</f>
        <v>37.1779023</v>
      </c>
      <c r="I115" s="22">
        <f>F115 * G115 * 22560</f>
        <v>6768</v>
      </c>
      <c r="J115" s="22">
        <f t="shared" si="4"/>
        <v>0</v>
      </c>
      <c r="K115" s="22">
        <f>F115 * G115 * 117.977877</f>
        <v>35.393363100000002</v>
      </c>
      <c r="L115" s="22">
        <f>F115 * G115 * 2408.21574</f>
        <v>722.46472200000005</v>
      </c>
      <c r="M115" s="22">
        <f>F115 * G115 * 24.785268</f>
        <v>7.4355803999999992</v>
      </c>
      <c r="N115" s="26">
        <f t="shared" si="5"/>
        <v>7570.4715677999993</v>
      </c>
      <c r="O115" s="33">
        <v>2.3806514364150941</v>
      </c>
    </row>
    <row r="116" spans="2:15" ht="25.5">
      <c r="B116" s="17">
        <v>66</v>
      </c>
      <c r="C116" s="18" t="s">
        <v>289</v>
      </c>
      <c r="D116" s="19" t="s">
        <v>290</v>
      </c>
      <c r="E116" s="19" t="s">
        <v>291</v>
      </c>
      <c r="F116" s="20">
        <v>1</v>
      </c>
      <c r="G116" s="21">
        <v>1</v>
      </c>
      <c r="H116" s="22">
        <f>F116 * G116 * 212.445157</f>
        <v>212.44515699999999</v>
      </c>
      <c r="I116" s="22">
        <f>F116 * G116 * 0</f>
        <v>0</v>
      </c>
      <c r="J116" s="22">
        <f t="shared" si="4"/>
        <v>0</v>
      </c>
      <c r="K116" s="22">
        <f>F116 * G116 * 202.247789</f>
        <v>202.24778900000001</v>
      </c>
      <c r="L116" s="22">
        <f>F116 * G116 * 48.232699</f>
        <v>48.232698999999997</v>
      </c>
      <c r="M116" s="22">
        <f>F116 * G116 * 42.489031</f>
        <v>42.489030999999997</v>
      </c>
      <c r="N116" s="26">
        <f t="shared" si="5"/>
        <v>505.41467600000004</v>
      </c>
      <c r="O116" s="33">
        <v>0.15893543270440252</v>
      </c>
    </row>
    <row r="117" spans="2:15" ht="38.25">
      <c r="B117" s="17">
        <v>67</v>
      </c>
      <c r="C117" s="18" t="s">
        <v>292</v>
      </c>
      <c r="D117" s="19" t="s">
        <v>293</v>
      </c>
      <c r="E117" s="19" t="s">
        <v>294</v>
      </c>
      <c r="F117" s="20">
        <v>1</v>
      </c>
      <c r="G117" s="21">
        <v>1</v>
      </c>
      <c r="H117" s="22">
        <f>F117 * G117 * 235.207138</f>
        <v>235.20713799999999</v>
      </c>
      <c r="I117" s="22">
        <f>F117 * G117 * 0</f>
        <v>0</v>
      </c>
      <c r="J117" s="22">
        <f t="shared" si="4"/>
        <v>0</v>
      </c>
      <c r="K117" s="22">
        <f>F117 * G117 * 223.917196</f>
        <v>223.91719599999999</v>
      </c>
      <c r="L117" s="22">
        <f>F117 * G117 * 53.4004879999999</f>
        <v>53.400487999999903</v>
      </c>
      <c r="M117" s="22">
        <f>F117 * G117 * 47.041428</f>
        <v>47.041428000000003</v>
      </c>
      <c r="N117" s="26">
        <f t="shared" si="5"/>
        <v>559.56624999999985</v>
      </c>
      <c r="O117" s="33">
        <v>0.17596422955974836</v>
      </c>
    </row>
    <row r="118" spans="2:15" ht="25.5">
      <c r="B118" s="17">
        <v>68</v>
      </c>
      <c r="C118" s="18" t="s">
        <v>295</v>
      </c>
      <c r="D118" s="19" t="s">
        <v>296</v>
      </c>
      <c r="E118" s="19" t="s">
        <v>297</v>
      </c>
      <c r="F118" s="20"/>
      <c r="G118" s="21">
        <v>1</v>
      </c>
      <c r="H118" s="22">
        <f>F118 * G118 * 1267.083613</f>
        <v>0</v>
      </c>
      <c r="I118" s="22">
        <f>F118 * G118 * 0</f>
        <v>0</v>
      </c>
      <c r="J118" s="22">
        <f t="shared" si="4"/>
        <v>0</v>
      </c>
      <c r="K118" s="22">
        <f>F118 * G118 * 1206.26359899999</f>
        <v>0</v>
      </c>
      <c r="L118" s="22">
        <f>F118 * G118 * 287.673595</f>
        <v>0</v>
      </c>
      <c r="M118" s="22">
        <f>F118 * G118 * 253.416723</f>
        <v>0</v>
      </c>
      <c r="N118" s="26">
        <f t="shared" si="5"/>
        <v>0</v>
      </c>
      <c r="O118" s="33">
        <v>0</v>
      </c>
    </row>
    <row r="119" spans="2:15" s="14" customFormat="1" ht="12.75">
      <c r="B119" s="15"/>
      <c r="C119" s="16" t="s">
        <v>298</v>
      </c>
      <c r="D119" s="47" t="s">
        <v>299</v>
      </c>
      <c r="E119" s="47"/>
      <c r="F119" s="47"/>
      <c r="G119" s="47"/>
      <c r="H119" s="47"/>
      <c r="I119" s="47"/>
      <c r="J119" s="47"/>
      <c r="K119" s="47"/>
      <c r="L119" s="47"/>
      <c r="M119" s="47"/>
      <c r="N119" s="48"/>
      <c r="O119" s="33"/>
    </row>
    <row r="120" spans="2:15">
      <c r="B120" s="17">
        <v>69</v>
      </c>
      <c r="C120" s="18" t="s">
        <v>300</v>
      </c>
      <c r="D120" s="19" t="s">
        <v>301</v>
      </c>
      <c r="E120" s="19" t="s">
        <v>283</v>
      </c>
      <c r="F120" s="20">
        <v>1</v>
      </c>
      <c r="G120" s="21">
        <v>0.1</v>
      </c>
      <c r="H120" s="22">
        <f>F120 * G120 * 1859.605842</f>
        <v>185.9605842</v>
      </c>
      <c r="I120" s="22">
        <f>F120 * G120 * 9566.57928</f>
        <v>956.65792800000008</v>
      </c>
      <c r="J120" s="22">
        <f>F120 * G120 * 0</f>
        <v>0</v>
      </c>
      <c r="K120" s="22">
        <f>F120 * G120 * 1770.344761</f>
        <v>177.03447610000001</v>
      </c>
      <c r="L120" s="22">
        <f>F120 * G120 * 1431.471586</f>
        <v>143.14715859999998</v>
      </c>
      <c r="M120" s="22">
        <f>F120 * G120 * 371.921168</f>
        <v>37.192116800000001</v>
      </c>
      <c r="N120" s="26">
        <f>SUM(H120:M120)</f>
        <v>1499.9922637000002</v>
      </c>
      <c r="O120" s="33">
        <v>0.47169568040880511</v>
      </c>
    </row>
    <row r="121" spans="2:15" s="11" customFormat="1" ht="15">
      <c r="B121" s="12"/>
      <c r="C121" s="13" t="s">
        <v>302</v>
      </c>
      <c r="D121" s="43" t="s">
        <v>303</v>
      </c>
      <c r="E121" s="43"/>
      <c r="F121" s="43"/>
      <c r="G121" s="43"/>
      <c r="H121" s="43"/>
      <c r="I121" s="43"/>
      <c r="J121" s="43"/>
      <c r="K121" s="43"/>
      <c r="L121" s="43"/>
      <c r="M121" s="43"/>
      <c r="N121" s="44"/>
      <c r="O121" s="33"/>
    </row>
    <row r="122" spans="2:15" s="14" customFormat="1" ht="12.75">
      <c r="B122" s="15"/>
      <c r="C122" s="16" t="s">
        <v>304</v>
      </c>
      <c r="D122" s="45" t="s">
        <v>305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6"/>
      <c r="O122" s="33"/>
    </row>
    <row r="123" spans="2:15" ht="38.25">
      <c r="B123" s="17">
        <v>70</v>
      </c>
      <c r="C123" s="18" t="s">
        <v>306</v>
      </c>
      <c r="D123" s="19" t="s">
        <v>307</v>
      </c>
      <c r="E123" s="19" t="s">
        <v>255</v>
      </c>
      <c r="F123" s="20">
        <v>0.15</v>
      </c>
      <c r="G123" s="21">
        <v>0.1</v>
      </c>
      <c r="H123" s="22">
        <f>F123 * G123 * 15959.396123</f>
        <v>239.39094184499999</v>
      </c>
      <c r="I123" s="22">
        <f>F123 * G123 * 69152.472644</f>
        <v>1037.2870896599998</v>
      </c>
      <c r="J123" s="22">
        <f>F123 * G123 * 0</f>
        <v>0</v>
      </c>
      <c r="K123" s="22">
        <f>F123 * G123 * 15193.345109</f>
        <v>227.90017663499998</v>
      </c>
      <c r="L123" s="22">
        <f>F123 * G123 * 10918.943323</f>
        <v>163.78414984499997</v>
      </c>
      <c r="M123" s="22">
        <f>F123 * G123 * 3191.879225</f>
        <v>47.878188375000001</v>
      </c>
      <c r="N123" s="26">
        <f>SUM(H123:M123)</f>
        <v>1716.2405463599998</v>
      </c>
      <c r="O123" s="33">
        <v>0.53969828501886785</v>
      </c>
    </row>
    <row r="124" spans="2:15" ht="38.25">
      <c r="B124" s="17">
        <v>71</v>
      </c>
      <c r="C124" s="18" t="s">
        <v>308</v>
      </c>
      <c r="D124" s="19" t="s">
        <v>309</v>
      </c>
      <c r="E124" s="19" t="s">
        <v>255</v>
      </c>
      <c r="F124" s="20"/>
      <c r="G124" s="21">
        <v>1</v>
      </c>
      <c r="H124" s="22">
        <f>F124 * G124 * 15959.396123</f>
        <v>0</v>
      </c>
      <c r="I124" s="22">
        <f>F124 * G124 * 69152.472644</f>
        <v>0</v>
      </c>
      <c r="J124" s="22">
        <f>F124 * G124 * 0</f>
        <v>0</v>
      </c>
      <c r="K124" s="22">
        <f>F124 * G124 * 15193.345109</f>
        <v>0</v>
      </c>
      <c r="L124" s="22">
        <f>F124 * G124 * 10918.943323</f>
        <v>0</v>
      </c>
      <c r="M124" s="22">
        <f>F124 * G124 * 3191.879225</f>
        <v>0</v>
      </c>
      <c r="N124" s="26">
        <f>SUM(H124:M124)</f>
        <v>0</v>
      </c>
      <c r="O124" s="33">
        <v>0</v>
      </c>
    </row>
    <row r="125" spans="2:15" s="14" customFormat="1" ht="12.75">
      <c r="B125" s="15"/>
      <c r="C125" s="16" t="s">
        <v>310</v>
      </c>
      <c r="D125" s="45" t="s">
        <v>311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6"/>
      <c r="O125" s="33"/>
    </row>
    <row r="126" spans="2:15" ht="38.25">
      <c r="B126" s="17">
        <v>72</v>
      </c>
      <c r="C126" s="18" t="s">
        <v>312</v>
      </c>
      <c r="D126" s="19" t="s">
        <v>313</v>
      </c>
      <c r="E126" s="19" t="s">
        <v>255</v>
      </c>
      <c r="F126" s="20">
        <v>0.02</v>
      </c>
      <c r="G126" s="21">
        <v>0.1</v>
      </c>
      <c r="H126" s="22">
        <f>F126 * G126 * 60202.24547</f>
        <v>120.40449094</v>
      </c>
      <c r="I126" s="22">
        <f>F126 * G126 * 310457.843239</f>
        <v>620.915686478</v>
      </c>
      <c r="J126" s="22">
        <f>F126 * G126 * 0</f>
        <v>0</v>
      </c>
      <c r="K126" s="22">
        <f>F126 * G126 * 57312.537688</f>
        <v>114.625075376</v>
      </c>
      <c r="L126" s="22">
        <f>F126 * G126 * 46421.3794639999</f>
        <v>92.84275892799981</v>
      </c>
      <c r="M126" s="22">
        <f>F126 * G126 * 12040.449094</f>
        <v>24.080898187999999</v>
      </c>
      <c r="N126" s="26">
        <f>SUM(H126:M126)</f>
        <v>972.86890990999984</v>
      </c>
      <c r="O126" s="33">
        <v>0.30593361946855346</v>
      </c>
    </row>
    <row r="127" spans="2:15" s="14" customFormat="1" ht="12.75">
      <c r="B127" s="15"/>
      <c r="C127" s="16" t="s">
        <v>314</v>
      </c>
      <c r="D127" s="45" t="s">
        <v>315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6"/>
      <c r="O127" s="33"/>
    </row>
    <row r="128" spans="2:15" s="14" customFormat="1" ht="12.75">
      <c r="B128" s="15"/>
      <c r="C128" s="16" t="s">
        <v>316</v>
      </c>
      <c r="D128" s="47" t="s">
        <v>317</v>
      </c>
      <c r="E128" s="47"/>
      <c r="F128" s="47"/>
      <c r="G128" s="47"/>
      <c r="H128" s="47"/>
      <c r="I128" s="47"/>
      <c r="J128" s="47"/>
      <c r="K128" s="47"/>
      <c r="L128" s="47"/>
      <c r="M128" s="47"/>
      <c r="N128" s="48"/>
      <c r="O128" s="33"/>
    </row>
    <row r="129" spans="2:15" ht="25.5">
      <c r="B129" s="17">
        <v>73</v>
      </c>
      <c r="C129" s="18" t="s">
        <v>318</v>
      </c>
      <c r="D129" s="19" t="s">
        <v>319</v>
      </c>
      <c r="E129" s="19" t="s">
        <v>320</v>
      </c>
      <c r="F129" s="20">
        <v>0.01</v>
      </c>
      <c r="G129" s="21">
        <v>1</v>
      </c>
      <c r="H129" s="22">
        <f>F129 * G129 * 13002.417821</f>
        <v>130.02417821</v>
      </c>
      <c r="I129" s="22">
        <f>F129 * G129 * 3908.797385</f>
        <v>39.087973849999997</v>
      </c>
      <c r="J129" s="22">
        <f>F129 * G129 * 0</f>
        <v>0</v>
      </c>
      <c r="K129" s="22">
        <f>F129 * G129 * 12378.3017659999</f>
        <v>123.783017659999</v>
      </c>
      <c r="L129" s="22">
        <f>F129 * G129 * 3364.39505699999</f>
        <v>33.643950569999902</v>
      </c>
      <c r="M129" s="22">
        <f>F129 * G129 * 2600.483564</f>
        <v>26.004835640000003</v>
      </c>
      <c r="N129" s="26">
        <f>SUM(H129:M129)</f>
        <v>352.5439559299989</v>
      </c>
      <c r="O129" s="33">
        <v>0.11086287922327009</v>
      </c>
    </row>
    <row r="130" spans="2:15" s="11" customFormat="1" ht="15">
      <c r="B130" s="12"/>
      <c r="C130" s="13" t="s">
        <v>321</v>
      </c>
      <c r="D130" s="43" t="s">
        <v>322</v>
      </c>
      <c r="E130" s="43"/>
      <c r="F130" s="43"/>
      <c r="G130" s="43"/>
      <c r="H130" s="43"/>
      <c r="I130" s="43"/>
      <c r="J130" s="43"/>
      <c r="K130" s="43"/>
      <c r="L130" s="43"/>
      <c r="M130" s="43"/>
      <c r="N130" s="44"/>
      <c r="O130" s="33"/>
    </row>
    <row r="131" spans="2:15" s="14" customFormat="1" ht="12.75">
      <c r="B131" s="15"/>
      <c r="C131" s="16" t="s">
        <v>323</v>
      </c>
      <c r="D131" s="45" t="s">
        <v>324</v>
      </c>
      <c r="E131" s="45"/>
      <c r="F131" s="45"/>
      <c r="G131" s="45"/>
      <c r="H131" s="45"/>
      <c r="I131" s="45"/>
      <c r="J131" s="45"/>
      <c r="K131" s="45"/>
      <c r="L131" s="45"/>
      <c r="M131" s="45"/>
      <c r="N131" s="46"/>
      <c r="O131" s="33"/>
    </row>
    <row r="132" spans="2:15" ht="25.5">
      <c r="B132" s="17">
        <v>74</v>
      </c>
      <c r="C132" s="18" t="s">
        <v>325</v>
      </c>
      <c r="D132" s="19" t="s">
        <v>326</v>
      </c>
      <c r="E132" s="19" t="s">
        <v>327</v>
      </c>
      <c r="F132" s="20">
        <v>8</v>
      </c>
      <c r="G132" s="21">
        <v>0.1</v>
      </c>
      <c r="H132" s="22">
        <f>F132 * G132 * 98.639032</f>
        <v>78.911225600000009</v>
      </c>
      <c r="I132" s="22">
        <f>F132 * G132 * 322.33728</f>
        <v>257.86982400000005</v>
      </c>
      <c r="J132" s="22">
        <f t="shared" ref="J132:J137" si="6">F132 * G132 * 0</f>
        <v>0</v>
      </c>
      <c r="K132" s="22">
        <f>F132 * G132 * 93.904359</f>
        <v>75.1234872</v>
      </c>
      <c r="L132" s="22">
        <f>F132 * G132 * 56.401194</f>
        <v>45.120955199999997</v>
      </c>
      <c r="M132" s="22">
        <f>F132 * G132 * 19.727806</f>
        <v>15.782244800000001</v>
      </c>
      <c r="N132" s="26">
        <f t="shared" ref="N132:N137" si="7">SUM(H132:M132)</f>
        <v>472.8077368000001</v>
      </c>
      <c r="O132" s="33">
        <v>0.14868167823899373</v>
      </c>
    </row>
    <row r="133" spans="2:15" ht="25.5">
      <c r="B133" s="17">
        <v>75</v>
      </c>
      <c r="C133" s="18" t="s">
        <v>328</v>
      </c>
      <c r="D133" s="19" t="s">
        <v>329</v>
      </c>
      <c r="E133" s="19" t="s">
        <v>330</v>
      </c>
      <c r="F133" s="20">
        <v>8</v>
      </c>
      <c r="G133" s="21">
        <v>0.1</v>
      </c>
      <c r="H133" s="22">
        <f>F133 * G133 * 268.085555</f>
        <v>214.46844400000001</v>
      </c>
      <c r="I133" s="22">
        <f>F133 * G133 * 1978.43304</f>
        <v>1582.7464319999999</v>
      </c>
      <c r="J133" s="22">
        <f t="shared" si="6"/>
        <v>0</v>
      </c>
      <c r="K133" s="22">
        <f>F133 * G133 * 255.217449</f>
        <v>204.17395920000001</v>
      </c>
      <c r="L133" s="22">
        <f>F133 * G133 * 269.589758</f>
        <v>215.67180640000004</v>
      </c>
      <c r="M133" s="22">
        <f>F133 * G133 * 53.617111</f>
        <v>42.893688800000007</v>
      </c>
      <c r="N133" s="26">
        <f t="shared" si="7"/>
        <v>2259.9543303999999</v>
      </c>
      <c r="O133" s="33">
        <v>0.71067746238993701</v>
      </c>
    </row>
    <row r="134" spans="2:15">
      <c r="B134" s="17">
        <v>76</v>
      </c>
      <c r="C134" s="18" t="s">
        <v>331</v>
      </c>
      <c r="D134" s="19" t="s">
        <v>332</v>
      </c>
      <c r="E134" s="19" t="s">
        <v>333</v>
      </c>
      <c r="F134" s="20">
        <v>1</v>
      </c>
      <c r="G134" s="21">
        <v>1</v>
      </c>
      <c r="H134" s="22">
        <f>F134 * G134 * 17.934369</f>
        <v>17.934369</v>
      </c>
      <c r="I134" s="22">
        <f>F134 * G134 * 2572.918368</f>
        <v>2572.9183680000001</v>
      </c>
      <c r="J134" s="22">
        <f t="shared" si="6"/>
        <v>0</v>
      </c>
      <c r="K134" s="22">
        <f>F134 * G134 * 17.0735189999999</f>
        <v>17.073518999999902</v>
      </c>
      <c r="L134" s="22">
        <f>F134 * G134 * 275.514636</f>
        <v>275.514636</v>
      </c>
      <c r="M134" s="22">
        <f>F134 * G134 * 3.586874</f>
        <v>3.5868739999999999</v>
      </c>
      <c r="N134" s="26">
        <f t="shared" si="7"/>
        <v>2887.0277660000002</v>
      </c>
      <c r="O134" s="33">
        <v>0.90787036666666676</v>
      </c>
    </row>
    <row r="135" spans="2:15">
      <c r="B135" s="17">
        <v>77</v>
      </c>
      <c r="C135" s="18" t="s">
        <v>334</v>
      </c>
      <c r="D135" s="19" t="s">
        <v>335</v>
      </c>
      <c r="E135" s="19" t="s">
        <v>336</v>
      </c>
      <c r="F135" s="20">
        <v>1</v>
      </c>
      <c r="G135" s="21">
        <v>0.1</v>
      </c>
      <c r="H135" s="22">
        <f>F135 * G135 * 98.639032</f>
        <v>9.8639032000000011</v>
      </c>
      <c r="I135" s="22">
        <f>F135 * G135 * 188.21808</f>
        <v>18.821808000000001</v>
      </c>
      <c r="J135" s="22">
        <f t="shared" si="6"/>
        <v>0</v>
      </c>
      <c r="K135" s="22">
        <f>F135 * G135 * 93.904359</f>
        <v>9.3904358999999999</v>
      </c>
      <c r="L135" s="22">
        <f>F135 * G135 * 42.251618</f>
        <v>4.2251618000000004</v>
      </c>
      <c r="M135" s="22">
        <f>F135 * G135 * 19.727806</f>
        <v>1.9727806000000001</v>
      </c>
      <c r="N135" s="26">
        <f t="shared" si="7"/>
        <v>44.274089500000002</v>
      </c>
      <c r="O135" s="33">
        <v>1.3922669654088051E-2</v>
      </c>
    </row>
    <row r="136" spans="2:15">
      <c r="B136" s="17">
        <v>78</v>
      </c>
      <c r="C136" s="18" t="s">
        <v>337</v>
      </c>
      <c r="D136" s="19" t="s">
        <v>338</v>
      </c>
      <c r="E136" s="19" t="s">
        <v>339</v>
      </c>
      <c r="F136" s="20">
        <v>1</v>
      </c>
      <c r="G136" s="21">
        <v>0.1</v>
      </c>
      <c r="H136" s="22">
        <f>F136 * G136 * 768.849138</f>
        <v>76.884913800000007</v>
      </c>
      <c r="I136" s="22">
        <f>F136 * G136 * 16600.468136</f>
        <v>1660.0468136</v>
      </c>
      <c r="J136" s="22">
        <f t="shared" si="6"/>
        <v>0</v>
      </c>
      <c r="K136" s="22">
        <f>F136 * G136 * 731.94438</f>
        <v>73.194438000000005</v>
      </c>
      <c r="L136" s="22">
        <f>F136 * G136 * 1925.905821</f>
        <v>192.59058210000001</v>
      </c>
      <c r="M136" s="22">
        <f>F136 * G136 * 153.769828</f>
        <v>15.3769828</v>
      </c>
      <c r="N136" s="26">
        <f t="shared" si="7"/>
        <v>2018.0937303000001</v>
      </c>
      <c r="O136" s="33">
        <v>0.63462066990566035</v>
      </c>
    </row>
    <row r="137" spans="2:15">
      <c r="B137" s="17">
        <v>79</v>
      </c>
      <c r="C137" s="18" t="s">
        <v>340</v>
      </c>
      <c r="D137" s="19" t="s">
        <v>341</v>
      </c>
      <c r="E137" s="19" t="s">
        <v>342</v>
      </c>
      <c r="F137" s="20">
        <v>1.7999999999999999E-2</v>
      </c>
      <c r="G137" s="21">
        <v>0.1</v>
      </c>
      <c r="H137" s="22">
        <f>F137 * G137 * 44835.92352</f>
        <v>80.704662335999998</v>
      </c>
      <c r="I137" s="22">
        <f>F137 * G137 * 118998.613755</f>
        <v>214.197504759</v>
      </c>
      <c r="J137" s="22">
        <f t="shared" si="6"/>
        <v>0</v>
      </c>
      <c r="K137" s="22">
        <f>F137 * G137 * 42683.799191</f>
        <v>76.830838543799999</v>
      </c>
      <c r="L137" s="22">
        <f>F137 * G137 * 22733.722484</f>
        <v>40.9207004712</v>
      </c>
      <c r="M137" s="22">
        <f>F137 * G137 * 8967.184704</f>
        <v>16.140932467199999</v>
      </c>
      <c r="N137" s="26">
        <f t="shared" si="7"/>
        <v>428.79463857719998</v>
      </c>
      <c r="O137" s="33">
        <v>0.13484108131358488</v>
      </c>
    </row>
    <row r="138" spans="2:15" s="14" customFormat="1" ht="12.75">
      <c r="B138" s="15"/>
      <c r="C138" s="16" t="s">
        <v>343</v>
      </c>
      <c r="D138" s="45" t="s">
        <v>344</v>
      </c>
      <c r="E138" s="45"/>
      <c r="F138" s="45"/>
      <c r="G138" s="45"/>
      <c r="H138" s="45"/>
      <c r="I138" s="45"/>
      <c r="J138" s="45"/>
      <c r="K138" s="45"/>
      <c r="L138" s="45"/>
      <c r="M138" s="45"/>
      <c r="N138" s="46"/>
      <c r="O138" s="33"/>
    </row>
    <row r="139" spans="2:15">
      <c r="B139" s="17">
        <v>80</v>
      </c>
      <c r="C139" s="18" t="s">
        <v>345</v>
      </c>
      <c r="D139" s="19" t="s">
        <v>346</v>
      </c>
      <c r="E139" s="19" t="s">
        <v>347</v>
      </c>
      <c r="F139" s="20">
        <v>2</v>
      </c>
      <c r="G139" s="21">
        <v>0.2</v>
      </c>
      <c r="H139" s="22">
        <f>F139 * G139 * 306.02219</f>
        <v>122.40887600000002</v>
      </c>
      <c r="I139" s="22">
        <f>F139 * G139 * 32.878418</f>
        <v>13.151367200000003</v>
      </c>
      <c r="J139" s="22">
        <f>F139 * G139 * 0</f>
        <v>0</v>
      </c>
      <c r="K139" s="22">
        <f>F139 * G139 * 291.333125</f>
        <v>116.53325000000001</v>
      </c>
      <c r="L139" s="22">
        <f>F139 * G139 * 72.946727</f>
        <v>29.178690799999998</v>
      </c>
      <c r="M139" s="22">
        <f>F139 * G139 * 61.204438</f>
        <v>24.481775200000001</v>
      </c>
      <c r="N139" s="26">
        <f>SUM(H139:M139)</f>
        <v>305.75395920000005</v>
      </c>
      <c r="O139" s="33">
        <v>9.6149043773584922E-2</v>
      </c>
    </row>
    <row r="140" spans="2:15" s="14" customFormat="1" ht="12.75">
      <c r="B140" s="15"/>
      <c r="C140" s="16" t="s">
        <v>348</v>
      </c>
      <c r="D140" s="45" t="s">
        <v>349</v>
      </c>
      <c r="E140" s="45"/>
      <c r="F140" s="45"/>
      <c r="G140" s="45"/>
      <c r="H140" s="45"/>
      <c r="I140" s="45"/>
      <c r="J140" s="45"/>
      <c r="K140" s="45"/>
      <c r="L140" s="45"/>
      <c r="M140" s="45"/>
      <c r="N140" s="46"/>
      <c r="O140" s="33"/>
    </row>
    <row r="141" spans="2:15" ht="38.25">
      <c r="B141" s="17">
        <v>81</v>
      </c>
      <c r="C141" s="18" t="s">
        <v>350</v>
      </c>
      <c r="D141" s="19" t="s">
        <v>351</v>
      </c>
      <c r="E141" s="19" t="s">
        <v>352</v>
      </c>
      <c r="F141" s="20">
        <v>1</v>
      </c>
      <c r="G141" s="21">
        <v>0.2</v>
      </c>
      <c r="H141" s="22">
        <f>F141 * G141 * 331.785834</f>
        <v>66.357166800000002</v>
      </c>
      <c r="I141" s="22">
        <f>F141 * G141 * 7754.59392</f>
        <v>1550.9187840000002</v>
      </c>
      <c r="J141" s="22">
        <f>F141 * G141 * 0</f>
        <v>0</v>
      </c>
      <c r="K141" s="22">
        <f>F141 * G141 * 315.860113999999</f>
        <v>63.172022799999802</v>
      </c>
      <c r="L141" s="22">
        <f>F141 * G141 * 893.436987</f>
        <v>178.68739740000001</v>
      </c>
      <c r="M141" s="22">
        <f>F141 * G141 * 66.357167</f>
        <v>13.271433400000001</v>
      </c>
      <c r="N141" s="26">
        <f>SUM(H141:M141)</f>
        <v>1872.4068043999998</v>
      </c>
      <c r="O141" s="33">
        <v>0.5888071711949685</v>
      </c>
    </row>
    <row r="142" spans="2:15" ht="38.25">
      <c r="B142" s="17">
        <v>82</v>
      </c>
      <c r="C142" s="18" t="s">
        <v>353</v>
      </c>
      <c r="D142" s="19" t="s">
        <v>354</v>
      </c>
      <c r="E142" s="19" t="s">
        <v>352</v>
      </c>
      <c r="F142" s="20">
        <v>1</v>
      </c>
      <c r="G142" s="21">
        <v>0.2</v>
      </c>
      <c r="H142" s="22">
        <f>F142 * G142 * 132.265974</f>
        <v>26.453194800000002</v>
      </c>
      <c r="I142" s="22">
        <f>F142 * G142 * 7754.59392</f>
        <v>1550.9187840000002</v>
      </c>
      <c r="J142" s="22">
        <f>F142 * G142 * 0</f>
        <v>0</v>
      </c>
      <c r="K142" s="22">
        <f>F142 * G142 * 125.917206999999</f>
        <v>25.183441399999801</v>
      </c>
      <c r="L142" s="22">
        <f>F142 * G142 * 848.138796</f>
        <v>169.62775920000001</v>
      </c>
      <c r="M142" s="22">
        <f>F142 * G142 * 26.453195</f>
        <v>5.2906390000000005</v>
      </c>
      <c r="N142" s="26">
        <f>SUM(H142:M142)</f>
        <v>1777.4738184</v>
      </c>
      <c r="O142" s="33">
        <v>0.55895403094339624</v>
      </c>
    </row>
    <row r="143" spans="2:15">
      <c r="B143" s="17">
        <v>83</v>
      </c>
      <c r="C143" s="18" t="s">
        <v>355</v>
      </c>
      <c r="D143" s="19" t="s">
        <v>356</v>
      </c>
      <c r="E143" s="19" t="s">
        <v>357</v>
      </c>
      <c r="F143" s="20">
        <v>0.01</v>
      </c>
      <c r="G143" s="21">
        <v>2</v>
      </c>
      <c r="H143" s="22">
        <f>F143 * G143 * 2690.155411</f>
        <v>53.803108220000006</v>
      </c>
      <c r="I143" s="22">
        <f>F143 * G143 * 0</f>
        <v>0</v>
      </c>
      <c r="J143" s="22">
        <f>F143 * G143 * 0</f>
        <v>0</v>
      </c>
      <c r="K143" s="22">
        <f>F143 * G143 * 2561.027951</f>
        <v>51.220559020000003</v>
      </c>
      <c r="L143" s="22">
        <f>F143 * G143 * 610.762124</f>
        <v>12.215242480000001</v>
      </c>
      <c r="M143" s="22">
        <f>F143 * G143 * 538.031082</f>
        <v>10.76062164</v>
      </c>
      <c r="N143" s="26">
        <f>SUM(H143:M143)</f>
        <v>127.99953136000001</v>
      </c>
      <c r="O143" s="33">
        <v>4.0251424955974842E-2</v>
      </c>
    </row>
    <row r="144" spans="2:15" s="14" customFormat="1" ht="12.75">
      <c r="B144" s="15"/>
      <c r="C144" s="16" t="s">
        <v>358</v>
      </c>
      <c r="D144" s="45" t="s">
        <v>359</v>
      </c>
      <c r="E144" s="45"/>
      <c r="F144" s="45"/>
      <c r="G144" s="45"/>
      <c r="H144" s="45"/>
      <c r="I144" s="45"/>
      <c r="J144" s="45"/>
      <c r="K144" s="45"/>
      <c r="L144" s="45"/>
      <c r="M144" s="45"/>
      <c r="N144" s="46"/>
      <c r="O144" s="33"/>
    </row>
    <row r="145" spans="2:15">
      <c r="B145" s="17">
        <v>84</v>
      </c>
      <c r="C145" s="18" t="s">
        <v>360</v>
      </c>
      <c r="D145" s="19" t="s">
        <v>361</v>
      </c>
      <c r="E145" s="19" t="s">
        <v>362</v>
      </c>
      <c r="F145" s="20">
        <v>12</v>
      </c>
      <c r="G145" s="21">
        <v>1</v>
      </c>
      <c r="H145" s="22">
        <f>F145 * G145 * 21.297064</f>
        <v>255.56476799999999</v>
      </c>
      <c r="I145" s="22">
        <f>F145 * G145 * 150.23832</f>
        <v>1802.8598399999998</v>
      </c>
      <c r="J145" s="22">
        <f>F145 * G145 * 0</f>
        <v>0</v>
      </c>
      <c r="K145" s="22">
        <f>F145 * G145 * 20.274805</f>
        <v>243.29766000000001</v>
      </c>
      <c r="L145" s="22">
        <f>F145 * G145 * 20.685343</f>
        <v>248.22411599999998</v>
      </c>
      <c r="M145" s="22">
        <f>F145 * G145 * 4.259413</f>
        <v>51.112956000000004</v>
      </c>
      <c r="N145" s="26">
        <f>SUM(H145:M145)</f>
        <v>2601.0593399999998</v>
      </c>
      <c r="O145" s="33">
        <v>0.8179431886792452</v>
      </c>
    </row>
    <row r="146" spans="2:15" s="11" customFormat="1" ht="15">
      <c r="B146" s="12"/>
      <c r="C146" s="13" t="s">
        <v>363</v>
      </c>
      <c r="D146" s="43" t="s">
        <v>364</v>
      </c>
      <c r="E146" s="43"/>
      <c r="F146" s="43"/>
      <c r="G146" s="43"/>
      <c r="H146" s="43"/>
      <c r="I146" s="43"/>
      <c r="J146" s="43"/>
      <c r="K146" s="43"/>
      <c r="L146" s="43"/>
      <c r="M146" s="43"/>
      <c r="N146" s="44"/>
      <c r="O146" s="33"/>
    </row>
    <row r="147" spans="2:15" s="14" customFormat="1" ht="12.75">
      <c r="B147" s="15"/>
      <c r="C147" s="16" t="s">
        <v>365</v>
      </c>
      <c r="D147" s="45" t="s">
        <v>366</v>
      </c>
      <c r="E147" s="45"/>
      <c r="F147" s="45"/>
      <c r="G147" s="45"/>
      <c r="H147" s="45"/>
      <c r="I147" s="45"/>
      <c r="J147" s="45"/>
      <c r="K147" s="45"/>
      <c r="L147" s="45"/>
      <c r="M147" s="45"/>
      <c r="N147" s="46"/>
      <c r="O147" s="33"/>
    </row>
    <row r="148" spans="2:15">
      <c r="B148" s="17">
        <v>85</v>
      </c>
      <c r="C148" s="18" t="s">
        <v>367</v>
      </c>
      <c r="D148" s="19" t="s">
        <v>368</v>
      </c>
      <c r="E148" s="19" t="s">
        <v>369</v>
      </c>
      <c r="F148" s="20">
        <v>0.01</v>
      </c>
      <c r="G148" s="21">
        <v>1</v>
      </c>
      <c r="H148" s="22">
        <f>F148 * G148 * 4936.582616</f>
        <v>49.365826159999997</v>
      </c>
      <c r="I148" s="22">
        <f>F148 * G148 * 14336.414138</f>
        <v>143.36414138000001</v>
      </c>
      <c r="J148" s="22">
        <f>F148 * G148 * 0</f>
        <v>0</v>
      </c>
      <c r="K148" s="22">
        <f>F148 * G148 * 4699.62665</f>
        <v>46.996266500000004</v>
      </c>
      <c r="L148" s="22">
        <f>F148 * G148 * 2633.273663</f>
        <v>26.332736629999999</v>
      </c>
      <c r="M148" s="22">
        <f>F148 * G148 * 987.316523</f>
        <v>9.8731652299999997</v>
      </c>
      <c r="N148" s="26">
        <f>SUM(H148:M148)</f>
        <v>275.93213589999999</v>
      </c>
      <c r="O148" s="33">
        <v>8.6771111918238997E-2</v>
      </c>
    </row>
    <row r="149" spans="2:15" ht="25.5">
      <c r="B149" s="17">
        <v>86</v>
      </c>
      <c r="C149" s="18" t="s">
        <v>370</v>
      </c>
      <c r="D149" s="19" t="s">
        <v>371</v>
      </c>
      <c r="E149" s="19" t="s">
        <v>372</v>
      </c>
      <c r="F149" s="20">
        <v>0.27200000000000002</v>
      </c>
      <c r="G149" s="21">
        <v>0.1</v>
      </c>
      <c r="H149" s="22">
        <f>F149 * G149 * 5209.964556</f>
        <v>141.7110359232</v>
      </c>
      <c r="I149" s="22">
        <f>F149 * G149 * 8187.30204</f>
        <v>222.69461548800001</v>
      </c>
      <c r="J149" s="22">
        <f>F149 * G149 * 0</f>
        <v>0</v>
      </c>
      <c r="K149" s="22">
        <f>F149 * G149 * 4959.886257</f>
        <v>134.90890619040002</v>
      </c>
      <c r="L149" s="22">
        <f>F149 * G149 * 2046.609878</f>
        <v>55.667788681600001</v>
      </c>
      <c r="M149" s="22">
        <f>F149 * G149 * 1041.992911</f>
        <v>28.342207179200003</v>
      </c>
      <c r="N149" s="26">
        <f>SUM(H149:M149)</f>
        <v>583.32455346239999</v>
      </c>
      <c r="O149" s="33">
        <v>0.18343539417056601</v>
      </c>
    </row>
    <row r="150" spans="2:15" s="14" customFormat="1" ht="12.75">
      <c r="B150" s="15"/>
      <c r="C150" s="16" t="s">
        <v>373</v>
      </c>
      <c r="D150" s="45" t="s">
        <v>374</v>
      </c>
      <c r="E150" s="45"/>
      <c r="F150" s="45"/>
      <c r="G150" s="45"/>
      <c r="H150" s="45"/>
      <c r="I150" s="45"/>
      <c r="J150" s="45"/>
      <c r="K150" s="45"/>
      <c r="L150" s="45"/>
      <c r="M150" s="45"/>
      <c r="N150" s="46"/>
      <c r="O150" s="33"/>
    </row>
    <row r="151" spans="2:15" ht="25.5">
      <c r="B151" s="17">
        <v>87</v>
      </c>
      <c r="C151" s="18" t="s">
        <v>375</v>
      </c>
      <c r="D151" s="19" t="s">
        <v>376</v>
      </c>
      <c r="E151" s="19" t="s">
        <v>377</v>
      </c>
      <c r="F151" s="20">
        <v>1</v>
      </c>
      <c r="G151" s="21">
        <v>1</v>
      </c>
      <c r="H151" s="22">
        <f>F151 * G151 * 343.499503</f>
        <v>343.499503</v>
      </c>
      <c r="I151" s="22">
        <f>F151 * G151 * 108.02292</f>
        <v>108.02292</v>
      </c>
      <c r="J151" s="22">
        <f>F151 * G151 * 0</f>
        <v>0</v>
      </c>
      <c r="K151" s="22">
        <f>F151 * G151 * 327.011527</f>
        <v>327.011527</v>
      </c>
      <c r="L151" s="22">
        <f>F151 * G151 * 89.383171</f>
        <v>89.383171000000004</v>
      </c>
      <c r="M151" s="22">
        <f>F151 * G151 * 68.699901</f>
        <v>68.699900999999997</v>
      </c>
      <c r="N151" s="26">
        <f>SUM(H151:M151)</f>
        <v>936.61702199999991</v>
      </c>
      <c r="O151" s="33">
        <v>0.29453365471698112</v>
      </c>
    </row>
    <row r="152" spans="2:15" s="14" customFormat="1" ht="12.75">
      <c r="B152" s="15"/>
      <c r="C152" s="16" t="s">
        <v>378</v>
      </c>
      <c r="D152" s="45" t="s">
        <v>379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46"/>
      <c r="O152" s="33"/>
    </row>
    <row r="153" spans="2:15" ht="25.5">
      <c r="B153" s="17">
        <v>88</v>
      </c>
      <c r="C153" s="18" t="s">
        <v>380</v>
      </c>
      <c r="D153" s="19" t="s">
        <v>381</v>
      </c>
      <c r="E153" s="19" t="s">
        <v>372</v>
      </c>
      <c r="F153" s="20">
        <v>0.26</v>
      </c>
      <c r="G153" s="21">
        <v>2</v>
      </c>
      <c r="H153" s="22">
        <f>F153 * G153 * 1011.643603</f>
        <v>526.05467355999997</v>
      </c>
      <c r="I153" s="22">
        <f>F153 * G153 * 0</f>
        <v>0</v>
      </c>
      <c r="J153" s="22">
        <f>F153 * G153 * 0</f>
        <v>0</v>
      </c>
      <c r="K153" s="22">
        <f>F153 * G153 * 963.08471</f>
        <v>500.80404920000001</v>
      </c>
      <c r="L153" s="22">
        <f>F153 * G153 * 229.679517</f>
        <v>119.43334884000001</v>
      </c>
      <c r="M153" s="22">
        <f>F153 * G153 * 202.328721</f>
        <v>105.21093492</v>
      </c>
      <c r="N153" s="26">
        <f>SUM(H153:M153)</f>
        <v>1251.5030065200001</v>
      </c>
      <c r="O153" s="33">
        <v>0.39355440456603774</v>
      </c>
    </row>
    <row r="154" spans="2:15" ht="25.5">
      <c r="B154" s="17">
        <v>89</v>
      </c>
      <c r="C154" s="18" t="s">
        <v>382</v>
      </c>
      <c r="D154" s="19" t="s">
        <v>383</v>
      </c>
      <c r="E154" s="19" t="s">
        <v>372</v>
      </c>
      <c r="F154" s="20">
        <v>0.03</v>
      </c>
      <c r="G154" s="21">
        <v>2</v>
      </c>
      <c r="H154" s="22">
        <f>F154 * G154 * 758.732702</f>
        <v>45.52396212</v>
      </c>
      <c r="I154" s="22">
        <f>F154 * G154 * 0</f>
        <v>0</v>
      </c>
      <c r="J154" s="22">
        <f>F154 * G154 * 0</f>
        <v>0</v>
      </c>
      <c r="K154" s="22">
        <f>F154 * G154 * 722.313532</f>
        <v>43.338811919999998</v>
      </c>
      <c r="L154" s="22">
        <f>F154 * G154 * 172.259638</f>
        <v>10.33557828</v>
      </c>
      <c r="M154" s="22">
        <f>F154 * G154 * 151.74654</f>
        <v>9.1047924000000009</v>
      </c>
      <c r="N154" s="26">
        <f>SUM(H154:M154)</f>
        <v>108.30314472000001</v>
      </c>
      <c r="O154" s="33">
        <v>3.4057592679245283E-2</v>
      </c>
    </row>
    <row r="155" spans="2:15" s="14" customFormat="1" ht="12.75">
      <c r="B155" s="15"/>
      <c r="C155" s="16" t="s">
        <v>384</v>
      </c>
      <c r="D155" s="45" t="s">
        <v>385</v>
      </c>
      <c r="E155" s="45"/>
      <c r="F155" s="45"/>
      <c r="G155" s="45"/>
      <c r="H155" s="45"/>
      <c r="I155" s="45"/>
      <c r="J155" s="45"/>
      <c r="K155" s="45"/>
      <c r="L155" s="45"/>
      <c r="M155" s="45"/>
      <c r="N155" s="46"/>
      <c r="O155" s="33"/>
    </row>
    <row r="156" spans="2:15" ht="25.5">
      <c r="B156" s="17">
        <v>90</v>
      </c>
      <c r="C156" s="18" t="s">
        <v>386</v>
      </c>
      <c r="D156" s="19" t="s">
        <v>387</v>
      </c>
      <c r="E156" s="19" t="s">
        <v>388</v>
      </c>
      <c r="F156" s="20">
        <v>0.04</v>
      </c>
      <c r="G156" s="21">
        <v>2</v>
      </c>
      <c r="H156" s="22">
        <f>F156 * G156 * 15174.654048</f>
        <v>1213.9723238399999</v>
      </c>
      <c r="I156" s="22">
        <f>F156 * G156 * 0</f>
        <v>0</v>
      </c>
      <c r="J156" s="22">
        <f>F156 * G156 * 0</f>
        <v>0</v>
      </c>
      <c r="K156" s="22">
        <f>F156 * G156 * 14446.270653</f>
        <v>1155.7016522399999</v>
      </c>
      <c r="L156" s="22">
        <f>F156 * G156 * 3445.192757</f>
        <v>275.61542056000002</v>
      </c>
      <c r="M156" s="22">
        <f>F156 * G156 * 3034.93081</f>
        <v>242.79446479999999</v>
      </c>
      <c r="N156" s="26">
        <f>SUM(H156:M156)</f>
        <v>2888.08386144</v>
      </c>
      <c r="O156" s="33">
        <v>0.90820247215094341</v>
      </c>
    </row>
    <row r="157" spans="2:15" ht="38.25">
      <c r="B157" s="17">
        <v>91</v>
      </c>
      <c r="C157" s="18" t="s">
        <v>389</v>
      </c>
      <c r="D157" s="19" t="s">
        <v>390</v>
      </c>
      <c r="E157" s="19" t="s">
        <v>391</v>
      </c>
      <c r="F157" s="20">
        <v>0.15</v>
      </c>
      <c r="G157" s="21">
        <v>1</v>
      </c>
      <c r="H157" s="22">
        <f>F157 * G157 * 7941.458992</f>
        <v>1191.2188487999999</v>
      </c>
      <c r="I157" s="22">
        <f>F157 * G157 * 1527.211044</f>
        <v>229.08165659999997</v>
      </c>
      <c r="J157" s="22">
        <f>F157 * G157 * 0</f>
        <v>0</v>
      </c>
      <c r="K157" s="22">
        <f>F157 * G157 * 7560.268961</f>
        <v>1134.04034415</v>
      </c>
      <c r="L157" s="22">
        <f>F157 * G157 * 1964.117849</f>
        <v>294.61767735000001</v>
      </c>
      <c r="M157" s="22">
        <f>F157 * G157 * 1588.291798</f>
        <v>238.24376969999997</v>
      </c>
      <c r="N157" s="26">
        <f>SUM(H157:M157)</f>
        <v>3087.2022966</v>
      </c>
      <c r="O157" s="33">
        <v>0.97081833226415093</v>
      </c>
    </row>
    <row r="158" spans="2:15" ht="25.5">
      <c r="B158" s="17">
        <v>92</v>
      </c>
      <c r="C158" s="18" t="s">
        <v>392</v>
      </c>
      <c r="D158" s="19" t="s">
        <v>393</v>
      </c>
      <c r="E158" s="19" t="s">
        <v>372</v>
      </c>
      <c r="F158" s="20">
        <v>0.27200000000000002</v>
      </c>
      <c r="G158" s="21">
        <v>2</v>
      </c>
      <c r="H158" s="22">
        <f>F158 * G158 * 941.554394</f>
        <v>512.205590336</v>
      </c>
      <c r="I158" s="22">
        <f>F158 * G158 * 0</f>
        <v>0</v>
      </c>
      <c r="J158" s="22">
        <f>F158 * G158 * 0</f>
        <v>0</v>
      </c>
      <c r="K158" s="22">
        <f>F158 * G158 * 896.359783</f>
        <v>487.61972195200002</v>
      </c>
      <c r="L158" s="22">
        <f>F158 * G158 * 213.766743</f>
        <v>116.289108192</v>
      </c>
      <c r="M158" s="22">
        <f>F158 * G158 * 188.310879</f>
        <v>102.441118176</v>
      </c>
      <c r="N158" s="26">
        <f>SUM(H158:M158)</f>
        <v>1218.555538656</v>
      </c>
      <c r="O158" s="33">
        <v>0.38319356561509438</v>
      </c>
    </row>
    <row r="159" spans="2:15" s="14" customFormat="1" ht="12.75">
      <c r="B159" s="15"/>
      <c r="C159" s="16" t="s">
        <v>394</v>
      </c>
      <c r="D159" s="45" t="s">
        <v>395</v>
      </c>
      <c r="E159" s="45"/>
      <c r="F159" s="45"/>
      <c r="G159" s="45"/>
      <c r="H159" s="45"/>
      <c r="I159" s="45"/>
      <c r="J159" s="45"/>
      <c r="K159" s="45"/>
      <c r="L159" s="45"/>
      <c r="M159" s="45"/>
      <c r="N159" s="46"/>
      <c r="O159" s="33"/>
    </row>
    <row r="160" spans="2:15" ht="25.5">
      <c r="B160" s="17">
        <v>93</v>
      </c>
      <c r="C160" s="18" t="s">
        <v>396</v>
      </c>
      <c r="D160" s="19" t="s">
        <v>397</v>
      </c>
      <c r="E160" s="19" t="s">
        <v>398</v>
      </c>
      <c r="F160" s="20">
        <v>0.02</v>
      </c>
      <c r="G160" s="21">
        <v>2</v>
      </c>
      <c r="H160" s="22">
        <f>F160 * G160 * 2276.198107</f>
        <v>91.047924280000004</v>
      </c>
      <c r="I160" s="22">
        <f>F160 * G160 * 0</f>
        <v>0</v>
      </c>
      <c r="J160" s="22">
        <f>F160 * G160 * 0</f>
        <v>0</v>
      </c>
      <c r="K160" s="22">
        <f>F160 * G160 * 2166.940598</f>
        <v>86.677623920000002</v>
      </c>
      <c r="L160" s="22">
        <f>F160 * G160 * 516.778914</f>
        <v>20.67115656</v>
      </c>
      <c r="M160" s="22">
        <f>F160 * G160 * 455.239621</f>
        <v>18.209584840000002</v>
      </c>
      <c r="N160" s="26">
        <f>SUM(H160:M160)</f>
        <v>216.60628959999997</v>
      </c>
      <c r="O160" s="33">
        <v>6.8115185408805026E-2</v>
      </c>
    </row>
    <row r="161" spans="2:15">
      <c r="B161" s="17">
        <v>94</v>
      </c>
      <c r="C161" s="18" t="s">
        <v>399</v>
      </c>
      <c r="D161" s="19" t="s">
        <v>400</v>
      </c>
      <c r="E161" s="19" t="s">
        <v>216</v>
      </c>
      <c r="F161" s="20">
        <v>0.03</v>
      </c>
      <c r="G161" s="21">
        <v>1</v>
      </c>
      <c r="H161" s="22">
        <f>F161 * G161 * 1120.898088</f>
        <v>33.626942639999996</v>
      </c>
      <c r="I161" s="22">
        <f>F161 * G161 * 1205.827488</f>
        <v>36.174824639999997</v>
      </c>
      <c r="J161" s="22">
        <f>F161 * G161 * 0</f>
        <v>0</v>
      </c>
      <c r="K161" s="22">
        <f>F161 * G161 * 1067.09497999999</f>
        <v>32.012849399999702</v>
      </c>
      <c r="L161" s="22">
        <f>F161 * G161 * 381.699018</f>
        <v>11.45097054</v>
      </c>
      <c r="M161" s="22">
        <f>F161 * G161 * 224.179618</f>
        <v>6.72538854</v>
      </c>
      <c r="N161" s="26">
        <f>SUM(H161:M161)</f>
        <v>119.99097575999969</v>
      </c>
      <c r="O161" s="33">
        <v>3.7733011245282923E-2</v>
      </c>
    </row>
    <row r="162" spans="2:15">
      <c r="B162" s="17">
        <v>95</v>
      </c>
      <c r="C162" s="18" t="s">
        <v>401</v>
      </c>
      <c r="D162" s="19" t="s">
        <v>402</v>
      </c>
      <c r="E162" s="19" t="s">
        <v>403</v>
      </c>
      <c r="F162" s="20">
        <v>2</v>
      </c>
      <c r="G162" s="21">
        <v>1</v>
      </c>
      <c r="H162" s="22">
        <f>F162 * G162 * 64.070761</f>
        <v>128.14152200000001</v>
      </c>
      <c r="I162" s="22">
        <f>F162 * G162 * 0</f>
        <v>0</v>
      </c>
      <c r="J162" s="22">
        <f>F162 * G162 * 0</f>
        <v>0</v>
      </c>
      <c r="K162" s="22">
        <f>F162 * G162 * 60.995365</f>
        <v>121.99073</v>
      </c>
      <c r="L162" s="22">
        <f>F162 * G162 * 14.546369</f>
        <v>29.092738000000001</v>
      </c>
      <c r="M162" s="22">
        <f>F162 * G162 * 12.814152</f>
        <v>25.628304</v>
      </c>
      <c r="N162" s="26">
        <f>SUM(H162:M162)</f>
        <v>304.85329400000001</v>
      </c>
      <c r="O162" s="33">
        <v>9.5865815723270451E-2</v>
      </c>
    </row>
    <row r="163" spans="2:15" s="14" customFormat="1" ht="12.75">
      <c r="B163" s="15"/>
      <c r="C163" s="16" t="s">
        <v>404</v>
      </c>
      <c r="D163" s="45" t="s">
        <v>405</v>
      </c>
      <c r="E163" s="45"/>
      <c r="F163" s="45"/>
      <c r="G163" s="45"/>
      <c r="H163" s="45"/>
      <c r="I163" s="45"/>
      <c r="J163" s="45"/>
      <c r="K163" s="45"/>
      <c r="L163" s="45"/>
      <c r="M163" s="45"/>
      <c r="N163" s="46"/>
      <c r="O163" s="33"/>
    </row>
    <row r="164" spans="2:15" s="14" customFormat="1" ht="12.75">
      <c r="B164" s="15"/>
      <c r="C164" s="16" t="s">
        <v>406</v>
      </c>
      <c r="D164" s="47" t="s">
        <v>407</v>
      </c>
      <c r="E164" s="47"/>
      <c r="F164" s="47"/>
      <c r="G164" s="47"/>
      <c r="H164" s="47"/>
      <c r="I164" s="47"/>
      <c r="J164" s="47"/>
      <c r="K164" s="47"/>
      <c r="L164" s="47"/>
      <c r="M164" s="47"/>
      <c r="N164" s="48"/>
      <c r="O164" s="33"/>
    </row>
    <row r="165" spans="2:15" ht="25.5">
      <c r="B165" s="17">
        <v>96</v>
      </c>
      <c r="C165" s="18" t="s">
        <v>408</v>
      </c>
      <c r="D165" s="19" t="s">
        <v>409</v>
      </c>
      <c r="E165" s="19" t="s">
        <v>372</v>
      </c>
      <c r="F165" s="20">
        <v>2.7E-2</v>
      </c>
      <c r="G165" s="21">
        <v>1</v>
      </c>
      <c r="H165" s="22">
        <f>F165 * G165 * 2529.109008</f>
        <v>68.285943215999993</v>
      </c>
      <c r="I165" s="22">
        <f>F165 * G165 * 0</f>
        <v>0</v>
      </c>
      <c r="J165" s="22">
        <f>F165 * G165 * 0</f>
        <v>0</v>
      </c>
      <c r="K165" s="22">
        <f>F165 * G165 * 2407.711775</f>
        <v>65.008217925000011</v>
      </c>
      <c r="L165" s="22">
        <f>F165 * G165 * 574.198793</f>
        <v>15.503367411000001</v>
      </c>
      <c r="M165" s="22">
        <f>F165 * G165 * 505.821802</f>
        <v>13.657188654</v>
      </c>
      <c r="N165" s="26">
        <f>SUM(H165:M165)</f>
        <v>162.45471720600003</v>
      </c>
      <c r="O165" s="33">
        <v>5.1086389058490576E-2</v>
      </c>
    </row>
    <row r="166" spans="2:15" ht="38.25">
      <c r="B166" s="17">
        <v>97</v>
      </c>
      <c r="C166" s="18" t="s">
        <v>410</v>
      </c>
      <c r="D166" s="19" t="s">
        <v>411</v>
      </c>
      <c r="E166" s="19" t="s">
        <v>412</v>
      </c>
      <c r="F166" s="20">
        <v>0.215</v>
      </c>
      <c r="G166" s="21">
        <v>1</v>
      </c>
      <c r="H166" s="22">
        <f>F166 * G166 * 1011.643603</f>
        <v>217.50337464499998</v>
      </c>
      <c r="I166" s="22">
        <f>F166 * G166 * 0</f>
        <v>0</v>
      </c>
      <c r="J166" s="22">
        <f>F166 * G166 * 0</f>
        <v>0</v>
      </c>
      <c r="K166" s="22">
        <f>F166 * G166 * 963.08471</f>
        <v>207.06321265</v>
      </c>
      <c r="L166" s="22">
        <f>F166 * G166 * 229.679517</f>
        <v>49.381096155000002</v>
      </c>
      <c r="M166" s="22">
        <f>F166 * G166 * 202.328721</f>
        <v>43.500675014999999</v>
      </c>
      <c r="N166" s="26">
        <f>SUM(H166:M166)</f>
        <v>517.44835846499996</v>
      </c>
      <c r="O166" s="33">
        <v>0.16271960958018866</v>
      </c>
    </row>
    <row r="167" spans="2:15">
      <c r="B167" s="17">
        <v>98</v>
      </c>
      <c r="C167" s="18" t="s">
        <v>413</v>
      </c>
      <c r="D167" s="19" t="s">
        <v>414</v>
      </c>
      <c r="E167" s="19" t="s">
        <v>415</v>
      </c>
      <c r="F167" s="20">
        <v>1</v>
      </c>
      <c r="G167" s="21">
        <v>1</v>
      </c>
      <c r="H167" s="22">
        <f>F167 * G167 * 896.71847</f>
        <v>896.71847000000002</v>
      </c>
      <c r="I167" s="22">
        <f>F167 * G167 * 0</f>
        <v>0</v>
      </c>
      <c r="J167" s="22">
        <f>F167 * G167 * 0</f>
        <v>0</v>
      </c>
      <c r="K167" s="22">
        <f>F167 * G167 * 853.675984</f>
        <v>853.67598399999997</v>
      </c>
      <c r="L167" s="22">
        <f>F167 * G167 * 203.587375</f>
        <v>203.58737500000001</v>
      </c>
      <c r="M167" s="22">
        <f>F167 * G167 * 179.343694</f>
        <v>179.343694</v>
      </c>
      <c r="N167" s="26">
        <f>SUM(H167:M167)</f>
        <v>2133.325523</v>
      </c>
      <c r="O167" s="33">
        <v>0.67085708270440259</v>
      </c>
    </row>
    <row r="168" spans="2:15" s="14" customFormat="1" ht="12.75">
      <c r="B168" s="15"/>
      <c r="C168" s="16" t="s">
        <v>416</v>
      </c>
      <c r="D168" s="47" t="s">
        <v>417</v>
      </c>
      <c r="E168" s="47"/>
      <c r="F168" s="47"/>
      <c r="G168" s="47"/>
      <c r="H168" s="47"/>
      <c r="I168" s="47"/>
      <c r="J168" s="47"/>
      <c r="K168" s="47"/>
      <c r="L168" s="47"/>
      <c r="M168" s="47"/>
      <c r="N168" s="48"/>
      <c r="O168" s="33"/>
    </row>
    <row r="169" spans="2:15" ht="25.5">
      <c r="B169" s="17">
        <v>99</v>
      </c>
      <c r="C169" s="18" t="s">
        <v>418</v>
      </c>
      <c r="D169" s="19" t="s">
        <v>419</v>
      </c>
      <c r="E169" s="19" t="s">
        <v>225</v>
      </c>
      <c r="F169" s="20">
        <v>0.3</v>
      </c>
      <c r="G169" s="21">
        <v>1</v>
      </c>
      <c r="H169" s="22">
        <f>F169 * G169 * 880.982422</f>
        <v>264.29472659999999</v>
      </c>
      <c r="I169" s="22">
        <f>F169 * G169 * 11.135178</f>
        <v>3.3405533999999997</v>
      </c>
      <c r="J169" s="22">
        <f>F169 * G169 * 0</f>
        <v>0</v>
      </c>
      <c r="K169" s="22">
        <f>F169 * G169 * 838.695265</f>
        <v>251.60857949999996</v>
      </c>
      <c r="L169" s="22">
        <f>F169 * G169 * 201.189486999999</f>
        <v>60.356846099999693</v>
      </c>
      <c r="M169" s="22">
        <f>F169 * G169 * 176.196484</f>
        <v>52.858945200000001</v>
      </c>
      <c r="N169" s="26">
        <f>SUM(H169:M169)</f>
        <v>632.45965079999951</v>
      </c>
      <c r="O169" s="33">
        <v>0.1988866826415093</v>
      </c>
    </row>
    <row r="170" spans="2:15" s="14" customFormat="1" ht="12.75">
      <c r="B170" s="15"/>
      <c r="C170" s="16" t="s">
        <v>420</v>
      </c>
      <c r="D170" s="47" t="s">
        <v>421</v>
      </c>
      <c r="E170" s="47"/>
      <c r="F170" s="47"/>
      <c r="G170" s="47"/>
      <c r="H170" s="47"/>
      <c r="I170" s="47"/>
      <c r="J170" s="47"/>
      <c r="K170" s="47"/>
      <c r="L170" s="47"/>
      <c r="M170" s="47"/>
      <c r="N170" s="48"/>
      <c r="O170" s="33"/>
    </row>
    <row r="171" spans="2:15" ht="25.5">
      <c r="B171" s="17">
        <v>100</v>
      </c>
      <c r="C171" s="18" t="s">
        <v>422</v>
      </c>
      <c r="D171" s="19" t="s">
        <v>423</v>
      </c>
      <c r="E171" s="19" t="s">
        <v>424</v>
      </c>
      <c r="F171" s="20">
        <v>14.2</v>
      </c>
      <c r="G171" s="21">
        <v>0.3</v>
      </c>
      <c r="H171" s="22">
        <f>F171 * G171 * 207.534376</f>
        <v>884.09644175999995</v>
      </c>
      <c r="I171" s="22">
        <f>F171 * G171 * 2.102378</f>
        <v>8.9561302799999982</v>
      </c>
      <c r="J171" s="22">
        <f>F171 * G171 * 0</f>
        <v>0</v>
      </c>
      <c r="K171" s="22">
        <f>F171 * G171 * 197.572726</f>
        <v>841.65981275999991</v>
      </c>
      <c r="L171" s="22">
        <f>F171 * G171 * 47.3395759999999</f>
        <v>201.66659375999956</v>
      </c>
      <c r="M171" s="22">
        <f>F171 * G171 * 41.506875</f>
        <v>176.8192875</v>
      </c>
      <c r="N171" s="26">
        <f>SUM(H171:M171)</f>
        <v>2113.1982660599997</v>
      </c>
      <c r="O171" s="33">
        <v>0.66452775662264141</v>
      </c>
    </row>
    <row r="172" spans="2:15" s="14" customFormat="1" ht="12.75">
      <c r="B172" s="15"/>
      <c r="C172" s="16" t="s">
        <v>425</v>
      </c>
      <c r="D172" s="47" t="s">
        <v>426</v>
      </c>
      <c r="E172" s="47"/>
      <c r="F172" s="47"/>
      <c r="G172" s="47"/>
      <c r="H172" s="47"/>
      <c r="I172" s="47"/>
      <c r="J172" s="47"/>
      <c r="K172" s="47"/>
      <c r="L172" s="47"/>
      <c r="M172" s="47"/>
      <c r="N172" s="48"/>
      <c r="O172" s="33"/>
    </row>
    <row r="173" spans="2:15" s="14" customFormat="1" ht="12.75">
      <c r="B173" s="15"/>
      <c r="C173" s="16" t="s">
        <v>427</v>
      </c>
      <c r="D173" s="49" t="s">
        <v>428</v>
      </c>
      <c r="E173" s="49"/>
      <c r="F173" s="49"/>
      <c r="G173" s="49"/>
      <c r="H173" s="49"/>
      <c r="I173" s="49"/>
      <c r="J173" s="49"/>
      <c r="K173" s="49"/>
      <c r="L173" s="49"/>
      <c r="M173" s="49"/>
      <c r="N173" s="50"/>
      <c r="O173" s="33"/>
    </row>
    <row r="174" spans="2:15" ht="25.5">
      <c r="B174" s="17">
        <v>101</v>
      </c>
      <c r="C174" s="18" t="s">
        <v>429</v>
      </c>
      <c r="D174" s="19" t="s">
        <v>430</v>
      </c>
      <c r="E174" s="19" t="s">
        <v>245</v>
      </c>
      <c r="F174" s="20">
        <v>0.01</v>
      </c>
      <c r="G174" s="21">
        <v>1</v>
      </c>
      <c r="H174" s="22">
        <f>F174 * G174 * 8743.005086</f>
        <v>87.430050859999994</v>
      </c>
      <c r="I174" s="22">
        <f>F174 * G174 * 201.555969</f>
        <v>2.0155596899999999</v>
      </c>
      <c r="J174" s="22">
        <f>F174 * G174 * 0</f>
        <v>0</v>
      </c>
      <c r="K174" s="22">
        <f>F174 * G174 * 8323.340842</f>
        <v>83.233408420000004</v>
      </c>
      <c r="L174" s="22">
        <f>F174 * G174 * 2006.241058</f>
        <v>20.062410580000002</v>
      </c>
      <c r="M174" s="22">
        <f>F174 * G174 * 1748.601017</f>
        <v>17.48601017</v>
      </c>
      <c r="N174" s="26">
        <f>SUM(H174:M174)</f>
        <v>210.22743972000001</v>
      </c>
      <c r="O174" s="33">
        <v>6.6109257773584909E-2</v>
      </c>
    </row>
    <row r="175" spans="2:15">
      <c r="B175" s="17">
        <v>102</v>
      </c>
      <c r="C175" s="18" t="s">
        <v>431</v>
      </c>
      <c r="D175" s="19" t="s">
        <v>432</v>
      </c>
      <c r="E175" s="19" t="s">
        <v>433</v>
      </c>
      <c r="F175" s="20">
        <v>0.01</v>
      </c>
      <c r="G175" s="21">
        <v>1</v>
      </c>
      <c r="H175" s="22">
        <f>F175 * G175 * 7840.237925</f>
        <v>78.40237925000001</v>
      </c>
      <c r="I175" s="22">
        <f>F175 * G175 * 785.473776</f>
        <v>7.8547377600000008</v>
      </c>
      <c r="J175" s="22">
        <f>F175 * G175 * 0</f>
        <v>0</v>
      </c>
      <c r="K175" s="22">
        <f>F175 * G175 * 7463.906504</f>
        <v>74.639065039999991</v>
      </c>
      <c r="L175" s="22">
        <f>F175 * G175 * 1862.88374099999</f>
        <v>18.6288374099999</v>
      </c>
      <c r="M175" s="22">
        <f>F175 * G175 * 1568.047585</f>
        <v>15.680475850000001</v>
      </c>
      <c r="N175" s="26">
        <f>SUM(H175:M175)</f>
        <v>195.20549530999989</v>
      </c>
      <c r="O175" s="33">
        <v>6.1385375883647765E-2</v>
      </c>
    </row>
    <row r="176" spans="2:15" s="14" customFormat="1" ht="12.75">
      <c r="B176" s="15"/>
      <c r="C176" s="16" t="s">
        <v>434</v>
      </c>
      <c r="D176" s="49" t="s">
        <v>435</v>
      </c>
      <c r="E176" s="49"/>
      <c r="F176" s="49"/>
      <c r="G176" s="49"/>
      <c r="H176" s="49"/>
      <c r="I176" s="49"/>
      <c r="J176" s="49"/>
      <c r="K176" s="49"/>
      <c r="L176" s="49"/>
      <c r="M176" s="49"/>
      <c r="N176" s="50"/>
      <c r="O176" s="33"/>
    </row>
    <row r="177" spans="2:15" ht="25.5">
      <c r="B177" s="17">
        <v>103</v>
      </c>
      <c r="C177" s="18" t="s">
        <v>436</v>
      </c>
      <c r="D177" s="19" t="s">
        <v>437</v>
      </c>
      <c r="E177" s="19" t="s">
        <v>438</v>
      </c>
      <c r="F177" s="20">
        <v>0.04</v>
      </c>
      <c r="G177" s="21">
        <v>1</v>
      </c>
      <c r="H177" s="22">
        <f>F177 * G177 * 12554.0585859999</f>
        <v>502.16234343999599</v>
      </c>
      <c r="I177" s="22">
        <f>F177 * G177 * 0</f>
        <v>0</v>
      </c>
      <c r="J177" s="22">
        <f>F177 * G177 * 0</f>
        <v>0</v>
      </c>
      <c r="K177" s="22">
        <f>F177 * G177 * 11951.463774</f>
        <v>478.05855095999999</v>
      </c>
      <c r="L177" s="22">
        <f>F177 * G177 * 2850.223245</f>
        <v>114.0089298</v>
      </c>
      <c r="M177" s="22">
        <f>F177 * G177 * 2510.811717</f>
        <v>100.43246868</v>
      </c>
      <c r="N177" s="26">
        <f>SUM(H177:M177)</f>
        <v>1194.6622928799961</v>
      </c>
      <c r="O177" s="33">
        <v>0.37567996631446543</v>
      </c>
    </row>
    <row r="178" spans="2:15" ht="25.5">
      <c r="B178" s="17">
        <v>104</v>
      </c>
      <c r="C178" s="18" t="s">
        <v>439</v>
      </c>
      <c r="D178" s="19" t="s">
        <v>440</v>
      </c>
      <c r="E178" s="19" t="s">
        <v>232</v>
      </c>
      <c r="F178" s="20">
        <v>0.02</v>
      </c>
      <c r="G178" s="21">
        <v>1</v>
      </c>
      <c r="H178" s="22">
        <f>F178 * G178 * 4259.412734</f>
        <v>85.188254679999986</v>
      </c>
      <c r="I178" s="22">
        <f>F178 * G178 * 0</f>
        <v>0</v>
      </c>
      <c r="J178" s="22">
        <f>F178 * G178 * 0</f>
        <v>0</v>
      </c>
      <c r="K178" s="22">
        <f>F178 * G178 * 4054.960923</f>
        <v>81.099218460000003</v>
      </c>
      <c r="L178" s="22">
        <f>F178 * G178 * 967.040029</f>
        <v>19.34080058</v>
      </c>
      <c r="M178" s="22">
        <f>F178 * G178 * 851.882547</f>
        <v>17.037650940000002</v>
      </c>
      <c r="N178" s="26">
        <f>SUM(H178:M178)</f>
        <v>202.66592465999997</v>
      </c>
      <c r="O178" s="33">
        <v>6.3731422849056599E-2</v>
      </c>
    </row>
    <row r="179" spans="2:15">
      <c r="B179" s="17">
        <v>105</v>
      </c>
      <c r="C179" s="18" t="s">
        <v>441</v>
      </c>
      <c r="D179" s="19" t="s">
        <v>442</v>
      </c>
      <c r="E179" s="19" t="s">
        <v>246</v>
      </c>
      <c r="F179" s="20">
        <v>0.02</v>
      </c>
      <c r="G179" s="21">
        <v>1</v>
      </c>
      <c r="H179" s="22">
        <f>F179 * G179 * 11208.98088</f>
        <v>224.1796176</v>
      </c>
      <c r="I179" s="22">
        <f>F179 * G179 * 17744.959709</f>
        <v>354.89919417999999</v>
      </c>
      <c r="J179" s="22">
        <f>F179 * G179 * 0</f>
        <v>0</v>
      </c>
      <c r="K179" s="22">
        <f>F179 * G179 * 10670.949798</f>
        <v>213.41899595999999</v>
      </c>
      <c r="L179" s="22">
        <f>F179 * G179 * 4416.935433</f>
        <v>88.338708659999995</v>
      </c>
      <c r="M179" s="22">
        <f>F179 * G179 * 2241.796176</f>
        <v>44.835923519999994</v>
      </c>
      <c r="N179" s="26">
        <f>SUM(H179:M179)</f>
        <v>925.67243991999999</v>
      </c>
      <c r="O179" s="33">
        <v>0.2910919622389937</v>
      </c>
    </row>
    <row r="180" spans="2:15" s="14" customFormat="1" ht="12.75">
      <c r="B180" s="15"/>
      <c r="C180" s="16" t="s">
        <v>443</v>
      </c>
      <c r="D180" s="45" t="s">
        <v>444</v>
      </c>
      <c r="E180" s="45"/>
      <c r="F180" s="45"/>
      <c r="G180" s="45"/>
      <c r="H180" s="45"/>
      <c r="I180" s="45"/>
      <c r="J180" s="45"/>
      <c r="K180" s="45"/>
      <c r="L180" s="45"/>
      <c r="M180" s="45"/>
      <c r="N180" s="46"/>
      <c r="O180" s="33"/>
    </row>
    <row r="181" spans="2:15" s="14" customFormat="1" ht="12.75">
      <c r="B181" s="15"/>
      <c r="C181" s="16" t="s">
        <v>445</v>
      </c>
      <c r="D181" s="47" t="s">
        <v>446</v>
      </c>
      <c r="E181" s="47"/>
      <c r="F181" s="47"/>
      <c r="G181" s="47"/>
      <c r="H181" s="47"/>
      <c r="I181" s="47"/>
      <c r="J181" s="47"/>
      <c r="K181" s="47"/>
      <c r="L181" s="47"/>
      <c r="M181" s="47"/>
      <c r="N181" s="48"/>
      <c r="O181" s="33"/>
    </row>
    <row r="182" spans="2:15" ht="38.25">
      <c r="B182" s="17">
        <v>106</v>
      </c>
      <c r="C182" s="18" t="s">
        <v>447</v>
      </c>
      <c r="D182" s="19" t="s">
        <v>448</v>
      </c>
      <c r="E182" s="19" t="s">
        <v>449</v>
      </c>
      <c r="F182" s="20">
        <v>1</v>
      </c>
      <c r="G182" s="21">
        <v>12</v>
      </c>
      <c r="H182" s="22">
        <f>F182 * G182 * 25.29109</f>
        <v>303.49308000000002</v>
      </c>
      <c r="I182" s="22">
        <f>F182 * G182 * 0</f>
        <v>0</v>
      </c>
      <c r="J182" s="22">
        <f>F182 * G182 * 0</f>
        <v>0</v>
      </c>
      <c r="K182" s="22">
        <f>F182 * G182 * 24.077118</f>
        <v>288.92541599999998</v>
      </c>
      <c r="L182" s="22">
        <f>F182 * G182 * 5.741988</f>
        <v>68.903856000000005</v>
      </c>
      <c r="M182" s="22">
        <f>F182 * G182 * 5.058218</f>
        <v>60.698616000000001</v>
      </c>
      <c r="N182" s="26">
        <f>SUM(H182:M182)</f>
        <v>722.02096800000004</v>
      </c>
      <c r="O182" s="33">
        <v>0.22705061886792455</v>
      </c>
    </row>
    <row r="183" spans="2:15" ht="25.5">
      <c r="B183" s="17">
        <v>107</v>
      </c>
      <c r="C183" s="18" t="s">
        <v>450</v>
      </c>
      <c r="D183" s="19" t="s">
        <v>451</v>
      </c>
      <c r="E183" s="19" t="s">
        <v>449</v>
      </c>
      <c r="F183" s="20">
        <v>1</v>
      </c>
      <c r="G183" s="21">
        <v>12</v>
      </c>
      <c r="H183" s="22">
        <f>F183 * G183 * 22.417962</f>
        <v>269.01554399999998</v>
      </c>
      <c r="I183" s="22">
        <f>F183 * G183 * 0</f>
        <v>0</v>
      </c>
      <c r="J183" s="22">
        <f>F183 * G183 * 0</f>
        <v>0</v>
      </c>
      <c r="K183" s="22">
        <f>F183 * G183 * 21.3419</f>
        <v>256.1028</v>
      </c>
      <c r="L183" s="22">
        <f>F183 * G183 * 5.089684</f>
        <v>61.076208000000001</v>
      </c>
      <c r="M183" s="22">
        <f>F183 * G183 * 4.483592</f>
        <v>53.803103999999998</v>
      </c>
      <c r="N183" s="26">
        <f>SUM(H183:M183)</f>
        <v>639.99765599999989</v>
      </c>
      <c r="O183" s="33">
        <v>0.20125712452830183</v>
      </c>
    </row>
    <row r="184" spans="2:15" ht="38.25">
      <c r="B184" s="17">
        <v>108</v>
      </c>
      <c r="C184" s="18" t="s">
        <v>452</v>
      </c>
      <c r="D184" s="19" t="s">
        <v>453</v>
      </c>
      <c r="E184" s="19" t="s">
        <v>454</v>
      </c>
      <c r="F184" s="20">
        <v>1</v>
      </c>
      <c r="G184" s="21">
        <v>1</v>
      </c>
      <c r="H184" s="22">
        <f>F184 * G184 * 134.042777</f>
        <v>134.042777</v>
      </c>
      <c r="I184" s="22">
        <f>F184 * G184 * 0</f>
        <v>0</v>
      </c>
      <c r="J184" s="22">
        <f>F184 * G184 * 0</f>
        <v>0</v>
      </c>
      <c r="K184" s="22">
        <f>F184 * G184 * 127.608724</f>
        <v>127.608724</v>
      </c>
      <c r="L184" s="22">
        <f>F184 * G184 * 30.432536</f>
        <v>30.432535999999999</v>
      </c>
      <c r="M184" s="22">
        <f>F184 * G184 * 26.808555</f>
        <v>26.808554999999998</v>
      </c>
      <c r="N184" s="26">
        <f>SUM(H184:M184)</f>
        <v>318.89259199999998</v>
      </c>
      <c r="O184" s="33">
        <v>0.10028068930817609</v>
      </c>
    </row>
    <row r="185" spans="2:15" ht="25.5">
      <c r="B185" s="17">
        <v>109</v>
      </c>
      <c r="C185" s="18" t="s">
        <v>455</v>
      </c>
      <c r="D185" s="19" t="s">
        <v>456</v>
      </c>
      <c r="E185" s="19" t="s">
        <v>449</v>
      </c>
      <c r="F185" s="20">
        <v>1</v>
      </c>
      <c r="G185" s="21">
        <v>1</v>
      </c>
      <c r="H185" s="22">
        <f>F185 * G185 * 50.58218</f>
        <v>50.582180000000001</v>
      </c>
      <c r="I185" s="22">
        <f>F185 * G185 * 0</f>
        <v>0</v>
      </c>
      <c r="J185" s="22">
        <f>F185 * G185 * 0</f>
        <v>0</v>
      </c>
      <c r="K185" s="22">
        <f>F185 * G185 * 48.154235</f>
        <v>48.154235</v>
      </c>
      <c r="L185" s="22">
        <f>F185 * G185 * 11.483976</f>
        <v>11.483976</v>
      </c>
      <c r="M185" s="22">
        <f>F185 * G185 * 10.116436</f>
        <v>10.116436</v>
      </c>
      <c r="N185" s="26">
        <f>SUM(H185:M185)</f>
        <v>120.336827</v>
      </c>
      <c r="O185" s="33">
        <v>3.7841769496855346E-2</v>
      </c>
    </row>
    <row r="186" spans="2:15" ht="25.5">
      <c r="B186" s="17">
        <v>110</v>
      </c>
      <c r="C186" s="18" t="s">
        <v>457</v>
      </c>
      <c r="D186" s="19" t="s">
        <v>458</v>
      </c>
      <c r="E186" s="19" t="s">
        <v>449</v>
      </c>
      <c r="F186" s="20">
        <v>1</v>
      </c>
      <c r="G186" s="21">
        <v>1</v>
      </c>
      <c r="H186" s="22">
        <f>F186 * G186 * 25.29109</f>
        <v>25.291090000000001</v>
      </c>
      <c r="I186" s="22">
        <f>F186 * G186 * 0</f>
        <v>0</v>
      </c>
      <c r="J186" s="22">
        <f>F186 * G186 * 0</f>
        <v>0</v>
      </c>
      <c r="K186" s="22">
        <f>F186 * G186 * 24.077118</f>
        <v>24.077117999999999</v>
      </c>
      <c r="L186" s="22">
        <f>F186 * G186 * 5.741988</f>
        <v>5.7419880000000001</v>
      </c>
      <c r="M186" s="22">
        <f>F186 * G186 * 5.058218</f>
        <v>5.0582180000000001</v>
      </c>
      <c r="N186" s="26">
        <f>SUM(H186:M186)</f>
        <v>60.168413999999999</v>
      </c>
      <c r="O186" s="33">
        <v>1.8920884905660375E-2</v>
      </c>
    </row>
    <row r="187" spans="2:15" s="14" customFormat="1" ht="12.75">
      <c r="B187" s="15"/>
      <c r="C187" s="16" t="s">
        <v>459</v>
      </c>
      <c r="D187" s="47" t="s">
        <v>460</v>
      </c>
      <c r="E187" s="47"/>
      <c r="F187" s="47"/>
      <c r="G187" s="47"/>
      <c r="H187" s="47"/>
      <c r="I187" s="47"/>
      <c r="J187" s="47"/>
      <c r="K187" s="47"/>
      <c r="L187" s="47"/>
      <c r="M187" s="47"/>
      <c r="N187" s="48"/>
      <c r="O187" s="33"/>
    </row>
    <row r="188" spans="2:15" ht="38.25">
      <c r="B188" s="17">
        <v>111</v>
      </c>
      <c r="C188" s="18" t="s">
        <v>461</v>
      </c>
      <c r="D188" s="19" t="s">
        <v>462</v>
      </c>
      <c r="E188" s="19" t="s">
        <v>463</v>
      </c>
      <c r="F188" s="20">
        <v>1</v>
      </c>
      <c r="G188" s="21">
        <v>12</v>
      </c>
      <c r="H188" s="22">
        <f>F188 * G188 * 40.465744</f>
        <v>485.58892800000001</v>
      </c>
      <c r="I188" s="22">
        <f>F188 * G188 * 0</f>
        <v>0</v>
      </c>
      <c r="J188" s="22">
        <f>F188 * G188 * 0</f>
        <v>0</v>
      </c>
      <c r="K188" s="22">
        <f>F188 * G188 * 38.523389</f>
        <v>462.28066799999999</v>
      </c>
      <c r="L188" s="22">
        <f>F188 * G188 * 9.18718</f>
        <v>110.24616</v>
      </c>
      <c r="M188" s="22">
        <f>F188 * G188 * 8.093149</f>
        <v>97.117788000000004</v>
      </c>
      <c r="N188" s="26">
        <f>SUM(H188:M188)</f>
        <v>1155.2335439999999</v>
      </c>
      <c r="O188" s="33">
        <v>0.36328098867924524</v>
      </c>
    </row>
    <row r="189" spans="2:15" ht="25.5">
      <c r="B189" s="17">
        <v>112</v>
      </c>
      <c r="C189" s="18" t="s">
        <v>464</v>
      </c>
      <c r="D189" s="19" t="s">
        <v>465</v>
      </c>
      <c r="E189" s="19" t="s">
        <v>463</v>
      </c>
      <c r="F189" s="20">
        <v>1</v>
      </c>
      <c r="G189" s="21">
        <v>12</v>
      </c>
      <c r="H189" s="22">
        <f>F189 * G189 * 22.417962</f>
        <v>269.01554399999998</v>
      </c>
      <c r="I189" s="22">
        <f>F189 * G189 * 0</f>
        <v>0</v>
      </c>
      <c r="J189" s="22">
        <f>F189 * G189 * 0</f>
        <v>0</v>
      </c>
      <c r="K189" s="22">
        <f>F189 * G189 * 21.3419</f>
        <v>256.1028</v>
      </c>
      <c r="L189" s="22">
        <f>F189 * G189 * 5.089684</f>
        <v>61.076208000000001</v>
      </c>
      <c r="M189" s="22">
        <f>F189 * G189 * 4.483592</f>
        <v>53.803103999999998</v>
      </c>
      <c r="N189" s="26">
        <f>SUM(H189:M189)</f>
        <v>639.99765599999989</v>
      </c>
      <c r="O189" s="33">
        <v>0.20125712452830183</v>
      </c>
    </row>
    <row r="190" spans="2:15" ht="38.25">
      <c r="B190" s="17">
        <v>113</v>
      </c>
      <c r="C190" s="18" t="s">
        <v>466</v>
      </c>
      <c r="D190" s="19" t="s">
        <v>467</v>
      </c>
      <c r="E190" s="19" t="s">
        <v>454</v>
      </c>
      <c r="F190" s="20">
        <v>1</v>
      </c>
      <c r="G190" s="21">
        <v>1</v>
      </c>
      <c r="H190" s="22">
        <f>F190 * G190 * 217.503375</f>
        <v>217.50337500000001</v>
      </c>
      <c r="I190" s="22">
        <f>F190 * G190 * 0</f>
        <v>0</v>
      </c>
      <c r="J190" s="22">
        <f>F190 * G190 * 0</f>
        <v>0</v>
      </c>
      <c r="K190" s="22">
        <f>F190 * G190 * 207.063213</f>
        <v>207.06321299999999</v>
      </c>
      <c r="L190" s="22">
        <f>F190 * G190 * 49.381096</f>
        <v>49.381095999999999</v>
      </c>
      <c r="M190" s="22">
        <f>F190 * G190 * 43.500675</f>
        <v>43.500675000000001</v>
      </c>
      <c r="N190" s="26">
        <f>SUM(H190:M190)</f>
        <v>517.44835899999998</v>
      </c>
      <c r="O190" s="33">
        <v>0.16271960974842767</v>
      </c>
    </row>
    <row r="191" spans="2:15" ht="25.5">
      <c r="B191" s="17">
        <v>114</v>
      </c>
      <c r="C191" s="18" t="s">
        <v>468</v>
      </c>
      <c r="D191" s="19" t="s">
        <v>469</v>
      </c>
      <c r="E191" s="19" t="s">
        <v>463</v>
      </c>
      <c r="F191" s="20">
        <v>1</v>
      </c>
      <c r="G191" s="21">
        <v>1</v>
      </c>
      <c r="H191" s="22">
        <f>F191 * G191 * 50.58218</f>
        <v>50.582180000000001</v>
      </c>
      <c r="I191" s="22">
        <f>F191 * G191 * 0</f>
        <v>0</v>
      </c>
      <c r="J191" s="22">
        <f>F191 * G191 * 0</f>
        <v>0</v>
      </c>
      <c r="K191" s="22">
        <f>F191 * G191 * 48.154235</f>
        <v>48.154235</v>
      </c>
      <c r="L191" s="22">
        <f>F191 * G191 * 11.483976</f>
        <v>11.483976</v>
      </c>
      <c r="M191" s="22">
        <f>F191 * G191 * 10.116436</f>
        <v>10.116436</v>
      </c>
      <c r="N191" s="26">
        <f>SUM(H191:M191)</f>
        <v>120.336827</v>
      </c>
      <c r="O191" s="33">
        <v>3.7841769496855346E-2</v>
      </c>
    </row>
    <row r="192" spans="2:15" ht="38.25">
      <c r="B192" s="17">
        <v>115</v>
      </c>
      <c r="C192" s="18" t="s">
        <v>470</v>
      </c>
      <c r="D192" s="19" t="s">
        <v>471</v>
      </c>
      <c r="E192" s="19" t="s">
        <v>463</v>
      </c>
      <c r="F192" s="20">
        <v>1</v>
      </c>
      <c r="G192" s="21">
        <v>1</v>
      </c>
      <c r="H192" s="22">
        <f>F192 * G192 * 182.095849</f>
        <v>182.09584899999999</v>
      </c>
      <c r="I192" s="22">
        <f>F192 * G192 * 0</f>
        <v>0</v>
      </c>
      <c r="J192" s="22">
        <f>F192 * G192 * 0</f>
        <v>0</v>
      </c>
      <c r="K192" s="22">
        <f>F192 * G192 * 173.355248</f>
        <v>173.35524799999999</v>
      </c>
      <c r="L192" s="22">
        <f>F192 * G192 * 41.342313</f>
        <v>41.342312999999997</v>
      </c>
      <c r="M192" s="22">
        <f>F192 * G192 * 36.41917</f>
        <v>36.419170000000001</v>
      </c>
      <c r="N192" s="26">
        <f>SUM(H192:M192)</f>
        <v>433.21258</v>
      </c>
      <c r="O192" s="33">
        <v>0.1362303710691824</v>
      </c>
    </row>
    <row r="193" spans="2:15" s="14" customFormat="1" ht="12.75">
      <c r="B193" s="15"/>
      <c r="C193" s="16" t="s">
        <v>472</v>
      </c>
      <c r="D193" s="49" t="s">
        <v>473</v>
      </c>
      <c r="E193" s="49"/>
      <c r="F193" s="49"/>
      <c r="G193" s="49"/>
      <c r="H193" s="49"/>
      <c r="I193" s="49"/>
      <c r="J193" s="49"/>
      <c r="K193" s="49"/>
      <c r="L193" s="49"/>
      <c r="M193" s="49"/>
      <c r="N193" s="50"/>
      <c r="O193" s="33"/>
    </row>
    <row r="194" spans="2:15" ht="38.25">
      <c r="B194" s="17">
        <v>116</v>
      </c>
      <c r="C194" s="18" t="s">
        <v>474</v>
      </c>
      <c r="D194" s="19" t="s">
        <v>475</v>
      </c>
      <c r="E194" s="19" t="s">
        <v>463</v>
      </c>
      <c r="F194" s="20">
        <v>1</v>
      </c>
      <c r="G194" s="21">
        <v>0.3</v>
      </c>
      <c r="H194" s="22">
        <f>F194 * G194 * 40.465744</f>
        <v>12.139723200000001</v>
      </c>
      <c r="I194" s="22">
        <f>F194 * G194 * 0</f>
        <v>0</v>
      </c>
      <c r="J194" s="22">
        <f>F194 * G194 * 0</f>
        <v>0</v>
      </c>
      <c r="K194" s="22">
        <f>F194 * G194 * 38.523389</f>
        <v>11.5570167</v>
      </c>
      <c r="L194" s="22">
        <f>F194 * G194 * 9.18718</f>
        <v>2.756154</v>
      </c>
      <c r="M194" s="22">
        <f>F194 * G194 * 8.093149</f>
        <v>2.4279446999999998</v>
      </c>
      <c r="N194" s="26">
        <f>SUM(H194:M194)</f>
        <v>28.880838600000001</v>
      </c>
      <c r="O194" s="33">
        <v>9.0820247169811318E-3</v>
      </c>
    </row>
    <row r="195" spans="2:15" ht="25.5">
      <c r="B195" s="17">
        <v>117</v>
      </c>
      <c r="C195" s="18" t="s">
        <v>476</v>
      </c>
      <c r="D195" s="19" t="s">
        <v>477</v>
      </c>
      <c r="E195" s="19" t="s">
        <v>463</v>
      </c>
      <c r="F195" s="20">
        <v>1</v>
      </c>
      <c r="G195" s="21">
        <v>0.3</v>
      </c>
      <c r="H195" s="22">
        <f>F195 * G195 * 252.910901</f>
        <v>75.873270300000001</v>
      </c>
      <c r="I195" s="22">
        <f>F195 * G195 * 0</f>
        <v>0</v>
      </c>
      <c r="J195" s="22">
        <f>F195 * G195 * 0</f>
        <v>0</v>
      </c>
      <c r="K195" s="22">
        <f>F195 * G195 * 240.771178</f>
        <v>72.231353399999989</v>
      </c>
      <c r="L195" s="22">
        <f>F195 * G195 * 57.419879</f>
        <v>17.225963700000001</v>
      </c>
      <c r="M195" s="22">
        <f>F195 * G195 * 50.58218</f>
        <v>15.174654</v>
      </c>
      <c r="N195" s="26">
        <f>SUM(H195:M195)</f>
        <v>180.50524139999999</v>
      </c>
      <c r="O195" s="33">
        <v>5.6762654528301877E-2</v>
      </c>
    </row>
    <row r="196" spans="2:15" ht="38.25">
      <c r="B196" s="17">
        <v>118</v>
      </c>
      <c r="C196" s="18" t="s">
        <v>478</v>
      </c>
      <c r="D196" s="19" t="s">
        <v>479</v>
      </c>
      <c r="E196" s="19" t="s">
        <v>463</v>
      </c>
      <c r="F196" s="20">
        <v>1</v>
      </c>
      <c r="G196" s="21">
        <v>0.3</v>
      </c>
      <c r="H196" s="22">
        <f>F196 * G196 * 306.044873</f>
        <v>91.813461899999993</v>
      </c>
      <c r="I196" s="22">
        <f>F196 * G196 * 0</f>
        <v>0</v>
      </c>
      <c r="J196" s="22">
        <f>F196 * G196 * 0</f>
        <v>0</v>
      </c>
      <c r="K196" s="22">
        <f>F196 * G196 * 291.354719</f>
        <v>87.406415699999997</v>
      </c>
      <c r="L196" s="22">
        <f>F196 * G196 * 69.483204</f>
        <v>20.8449612</v>
      </c>
      <c r="M196" s="22">
        <f>F196 * G196 * 61.208975</f>
        <v>18.362692500000001</v>
      </c>
      <c r="N196" s="26">
        <f>SUM(H196:M196)</f>
        <v>218.4275313</v>
      </c>
      <c r="O196" s="33">
        <v>6.8687902924528296E-2</v>
      </c>
    </row>
    <row r="197" spans="2:15" ht="38.25">
      <c r="B197" s="17">
        <v>119</v>
      </c>
      <c r="C197" s="18" t="s">
        <v>480</v>
      </c>
      <c r="D197" s="19" t="s">
        <v>481</v>
      </c>
      <c r="E197" s="19" t="s">
        <v>463</v>
      </c>
      <c r="F197" s="20">
        <v>1</v>
      </c>
      <c r="G197" s="21">
        <v>12</v>
      </c>
      <c r="H197" s="22">
        <f>F197 * G197 * 38.749428</f>
        <v>464.99313600000005</v>
      </c>
      <c r="I197" s="22">
        <f>F197 * G197 * 0</f>
        <v>0</v>
      </c>
      <c r="J197" s="22">
        <f>F197 * G197 * 0</f>
        <v>0</v>
      </c>
      <c r="K197" s="22">
        <f>F197 * G197 * 36.889455</f>
        <v>442.67345999999998</v>
      </c>
      <c r="L197" s="22">
        <f>F197 * G197 * 8.797515</f>
        <v>105.57018000000001</v>
      </c>
      <c r="M197" s="22">
        <f>F197 * G197 * 7.749886</f>
        <v>92.998632000000001</v>
      </c>
      <c r="N197" s="26">
        <f>SUM(H197:M197)</f>
        <v>1106.235408</v>
      </c>
      <c r="O197" s="33">
        <v>0.3478727698113207</v>
      </c>
    </row>
    <row r="198" spans="2:15" ht="38.25">
      <c r="B198" s="17">
        <v>120</v>
      </c>
      <c r="C198" s="18" t="s">
        <v>482</v>
      </c>
      <c r="D198" s="19" t="s">
        <v>483</v>
      </c>
      <c r="E198" s="19" t="s">
        <v>463</v>
      </c>
      <c r="F198" s="20">
        <v>1</v>
      </c>
      <c r="G198" s="21">
        <v>12</v>
      </c>
      <c r="H198" s="22">
        <f>F198 * G198 * 464.993136</f>
        <v>5579.9176319999997</v>
      </c>
      <c r="I198" s="22">
        <f>F198 * G198 * 0</f>
        <v>0</v>
      </c>
      <c r="J198" s="22">
        <f>F198 * G198 * 0</f>
        <v>0</v>
      </c>
      <c r="K198" s="22">
        <f>F198 * G198 * 442.673465</f>
        <v>5312.08158</v>
      </c>
      <c r="L198" s="22">
        <f>F198 * G198 * 105.570181</f>
        <v>1266.8421720000001</v>
      </c>
      <c r="M198" s="22">
        <f>F198 * G198 * 92.998627</f>
        <v>1115.983524</v>
      </c>
      <c r="N198" s="26">
        <f>SUM(H198:M198)</f>
        <v>13274.824907999999</v>
      </c>
      <c r="O198" s="33">
        <v>4.1744732415094337</v>
      </c>
    </row>
    <row r="199" spans="2:15" s="14" customFormat="1" ht="12.75">
      <c r="B199" s="15"/>
      <c r="C199" s="16" t="s">
        <v>484</v>
      </c>
      <c r="D199" s="47" t="s">
        <v>485</v>
      </c>
      <c r="E199" s="47"/>
      <c r="F199" s="47"/>
      <c r="G199" s="47"/>
      <c r="H199" s="47"/>
      <c r="I199" s="47"/>
      <c r="J199" s="47"/>
      <c r="K199" s="47"/>
      <c r="L199" s="47"/>
      <c r="M199" s="47"/>
      <c r="N199" s="48"/>
      <c r="O199" s="33"/>
    </row>
    <row r="200" spans="2:15" ht="25.5">
      <c r="B200" s="17">
        <v>121</v>
      </c>
      <c r="C200" s="18" t="s">
        <v>486</v>
      </c>
      <c r="D200" s="19" t="s">
        <v>487</v>
      </c>
      <c r="E200" s="19" t="s">
        <v>203</v>
      </c>
      <c r="F200" s="20">
        <v>1</v>
      </c>
      <c r="G200" s="21">
        <v>0.3</v>
      </c>
      <c r="H200" s="22">
        <f>F200 * G200 * 376.837242</f>
        <v>113.0511726</v>
      </c>
      <c r="I200" s="22">
        <f>F200 * G200 * 0</f>
        <v>0</v>
      </c>
      <c r="J200" s="22">
        <f>F200 * G200 * 0</f>
        <v>0</v>
      </c>
      <c r="K200" s="22">
        <f>F200 * G200 * 358.749054</f>
        <v>107.62471619999999</v>
      </c>
      <c r="L200" s="22">
        <f>F200 * G200 * 85.55562</f>
        <v>25.666686000000002</v>
      </c>
      <c r="M200" s="22">
        <f>F200 * G200 * 75.367448</f>
        <v>22.6102344</v>
      </c>
      <c r="N200" s="26">
        <f>SUM(H200:M200)</f>
        <v>268.95280919999999</v>
      </c>
      <c r="O200" s="33">
        <v>8.4576355094339625E-2</v>
      </c>
    </row>
    <row r="201" spans="2:15" ht="25.5">
      <c r="B201" s="17">
        <v>122</v>
      </c>
      <c r="C201" s="18" t="s">
        <v>488</v>
      </c>
      <c r="D201" s="19" t="s">
        <v>489</v>
      </c>
      <c r="E201" s="19" t="s">
        <v>203</v>
      </c>
      <c r="F201" s="20">
        <v>1</v>
      </c>
      <c r="G201" s="21">
        <v>0.3</v>
      </c>
      <c r="H201" s="22">
        <f>F201 * G201 * 376.837242</f>
        <v>113.0511726</v>
      </c>
      <c r="I201" s="22">
        <f>F201 * G201 * 0</f>
        <v>0</v>
      </c>
      <c r="J201" s="22">
        <f>F201 * G201 * 0</f>
        <v>0</v>
      </c>
      <c r="K201" s="22">
        <f>F201 * G201 * 358.749054</f>
        <v>107.62471619999999</v>
      </c>
      <c r="L201" s="22">
        <f>F201 * G201 * 85.55562</f>
        <v>25.666686000000002</v>
      </c>
      <c r="M201" s="22">
        <f>F201 * G201 * 75.367448</f>
        <v>22.6102344</v>
      </c>
      <c r="N201" s="26">
        <f>SUM(H201:M201)</f>
        <v>268.95280919999999</v>
      </c>
      <c r="O201" s="33">
        <v>8.4576355094339625E-2</v>
      </c>
    </row>
    <row r="202" spans="2:15" s="11" customFormat="1" ht="15">
      <c r="B202" s="12"/>
      <c r="C202" s="13" t="s">
        <v>490</v>
      </c>
      <c r="D202" s="43" t="s">
        <v>491</v>
      </c>
      <c r="E202" s="43"/>
      <c r="F202" s="43"/>
      <c r="G202" s="43"/>
      <c r="H202" s="43"/>
      <c r="I202" s="43"/>
      <c r="J202" s="43"/>
      <c r="K202" s="43"/>
      <c r="L202" s="43"/>
      <c r="M202" s="43"/>
      <c r="N202" s="44"/>
      <c r="O202" s="33"/>
    </row>
    <row r="203" spans="2:15" s="14" customFormat="1" ht="12.75">
      <c r="B203" s="15"/>
      <c r="C203" s="16" t="s">
        <v>492</v>
      </c>
      <c r="D203" s="45" t="s">
        <v>493</v>
      </c>
      <c r="E203" s="45"/>
      <c r="F203" s="45"/>
      <c r="G203" s="45"/>
      <c r="H203" s="45"/>
      <c r="I203" s="45"/>
      <c r="J203" s="45"/>
      <c r="K203" s="45"/>
      <c r="L203" s="45"/>
      <c r="M203" s="45"/>
      <c r="N203" s="46"/>
      <c r="O203" s="33"/>
    </row>
    <row r="204" spans="2:15" ht="76.5">
      <c r="B204" s="17">
        <v>123</v>
      </c>
      <c r="C204" s="18" t="s">
        <v>494</v>
      </c>
      <c r="D204" s="19" t="s">
        <v>495</v>
      </c>
      <c r="E204" s="19" t="s">
        <v>496</v>
      </c>
      <c r="F204" s="20">
        <v>0.26500000000000001</v>
      </c>
      <c r="G204" s="21">
        <v>3</v>
      </c>
      <c r="H204" s="22">
        <f>F204 * G204 * 3050.831307</f>
        <v>2425.410889065</v>
      </c>
      <c r="I204" s="22">
        <f>F204 * G204 * 0</f>
        <v>0</v>
      </c>
      <c r="J204" s="22">
        <f>F204 * G204 * 0</f>
        <v>0</v>
      </c>
      <c r="K204" s="22">
        <f>F204 * G204 * 2904.391405</f>
        <v>2308.9911669749999</v>
      </c>
      <c r="L204" s="22">
        <f>F204 * G204 * 692.648537</f>
        <v>550.65558691500007</v>
      </c>
      <c r="M204" s="22">
        <f>F204 * G204 * 610.166261</f>
        <v>485.082177495</v>
      </c>
      <c r="N204" s="26">
        <f>SUM(H204:M204)</f>
        <v>5770.1398204500001</v>
      </c>
      <c r="O204" s="33">
        <v>1.8145093775000001</v>
      </c>
    </row>
    <row r="205" spans="2:15" s="11" customFormat="1" ht="15">
      <c r="B205" s="12"/>
      <c r="C205" s="13" t="s">
        <v>497</v>
      </c>
      <c r="D205" s="43" t="s">
        <v>498</v>
      </c>
      <c r="E205" s="43"/>
      <c r="F205" s="43"/>
      <c r="G205" s="43"/>
      <c r="H205" s="43"/>
      <c r="I205" s="43"/>
      <c r="J205" s="43"/>
      <c r="K205" s="43"/>
      <c r="L205" s="43"/>
      <c r="M205" s="43"/>
      <c r="N205" s="44"/>
      <c r="O205" s="33"/>
    </row>
    <row r="206" spans="2:15" s="14" customFormat="1" ht="12.75">
      <c r="B206" s="15"/>
      <c r="C206" s="16" t="s">
        <v>499</v>
      </c>
      <c r="D206" s="45" t="s">
        <v>500</v>
      </c>
      <c r="E206" s="45"/>
      <c r="F206" s="45"/>
      <c r="G206" s="45"/>
      <c r="H206" s="45"/>
      <c r="I206" s="45"/>
      <c r="J206" s="45"/>
      <c r="K206" s="45"/>
      <c r="L206" s="45"/>
      <c r="M206" s="45"/>
      <c r="N206" s="46"/>
      <c r="O206" s="33"/>
    </row>
    <row r="207" spans="2:15" s="14" customFormat="1" ht="12.75">
      <c r="B207" s="15"/>
      <c r="C207" s="16" t="s">
        <v>502</v>
      </c>
      <c r="D207" s="45" t="s">
        <v>503</v>
      </c>
      <c r="E207" s="45"/>
      <c r="F207" s="45"/>
      <c r="G207" s="45"/>
      <c r="H207" s="45"/>
      <c r="I207" s="45"/>
      <c r="J207" s="45"/>
      <c r="K207" s="45"/>
      <c r="L207" s="45"/>
      <c r="M207" s="45"/>
      <c r="N207" s="46"/>
      <c r="O207" s="33"/>
    </row>
    <row r="208" spans="2:15">
      <c r="B208" s="17">
        <v>124</v>
      </c>
      <c r="C208" s="18" t="s">
        <v>504</v>
      </c>
      <c r="D208" s="19" t="s">
        <v>505</v>
      </c>
      <c r="E208" s="19" t="s">
        <v>506</v>
      </c>
      <c r="F208" s="20">
        <v>1</v>
      </c>
      <c r="G208" s="21">
        <v>2</v>
      </c>
      <c r="H208" s="22">
        <f>F208 * G208 * 19.280203</f>
        <v>38.560406</v>
      </c>
      <c r="I208" s="22">
        <f>F208 * G208 * 0</f>
        <v>0</v>
      </c>
      <c r="J208" s="22">
        <f>F208 * G208 * 0</f>
        <v>0</v>
      </c>
      <c r="K208" s="22">
        <f>F208 * G208 * 18.354753</f>
        <v>36.709505999999998</v>
      </c>
      <c r="L208" s="22">
        <f>F208 * G208 * 4.3773</f>
        <v>8.7545999999999999</v>
      </c>
      <c r="M208" s="22">
        <f>F208 * G208 * 3.856041</f>
        <v>7.7120819999999997</v>
      </c>
      <c r="N208" s="26">
        <f>SUM(H208:M208)</f>
        <v>91.736593999999997</v>
      </c>
      <c r="O208" s="33">
        <v>2.8847985534591194E-2</v>
      </c>
    </row>
    <row r="209" spans="2:16" s="14" customFormat="1" ht="12.75">
      <c r="B209" s="15"/>
      <c r="C209" s="16" t="s">
        <v>507</v>
      </c>
      <c r="D209" s="45" t="s">
        <v>508</v>
      </c>
      <c r="E209" s="45"/>
      <c r="F209" s="45"/>
      <c r="G209" s="45"/>
      <c r="H209" s="45"/>
      <c r="I209" s="45"/>
      <c r="J209" s="45"/>
      <c r="K209" s="45"/>
      <c r="L209" s="45"/>
      <c r="M209" s="45"/>
      <c r="N209" s="46"/>
      <c r="O209" s="33"/>
    </row>
    <row r="210" spans="2:16" ht="25.5">
      <c r="B210" s="17">
        <v>125</v>
      </c>
      <c r="C210" s="18" t="s">
        <v>509</v>
      </c>
      <c r="D210" s="19" t="s">
        <v>510</v>
      </c>
      <c r="E210" s="19" t="s">
        <v>511</v>
      </c>
      <c r="F210" s="20">
        <v>2.726</v>
      </c>
      <c r="G210" s="21">
        <v>1</v>
      </c>
      <c r="H210" s="22">
        <f>F210 * G210 * 737.18424</f>
        <v>2009.5642382400001</v>
      </c>
      <c r="I210" s="22">
        <f>F210 * G210 * 0</f>
        <v>0</v>
      </c>
      <c r="J210" s="22">
        <f>F210 * G210 * 0</f>
        <v>0</v>
      </c>
      <c r="K210" s="22">
        <f>F210 * G210 * 701.799396</f>
        <v>1913.105153496</v>
      </c>
      <c r="L210" s="22">
        <f>F210 * G210 * 167.367361</f>
        <v>456.24342608599994</v>
      </c>
      <c r="M210" s="22">
        <f>F210 * G210 * 147.436848</f>
        <v>401.91284764799997</v>
      </c>
      <c r="N210" s="26">
        <f>SUM(H210:M210)</f>
        <v>4780.8256654699999</v>
      </c>
      <c r="O210" s="33">
        <v>1.50340429731761</v>
      </c>
    </row>
    <row r="211" spans="2:16" ht="25.5">
      <c r="B211" s="17">
        <v>126</v>
      </c>
      <c r="C211" s="18" t="s">
        <v>512</v>
      </c>
      <c r="D211" s="19" t="s">
        <v>513</v>
      </c>
      <c r="E211" s="19" t="s">
        <v>511</v>
      </c>
      <c r="F211" s="20">
        <v>2.726</v>
      </c>
      <c r="G211" s="21">
        <v>1</v>
      </c>
      <c r="H211" s="22">
        <f>F211 * G211 * 94.5108</f>
        <v>257.6364408</v>
      </c>
      <c r="I211" s="22">
        <f>F211 * G211 * 0</f>
        <v>0</v>
      </c>
      <c r="J211" s="22">
        <f>F211 * G211 * 0</f>
        <v>0</v>
      </c>
      <c r="K211" s="22">
        <f>F211 * G211 * 89.974282</f>
        <v>245.26989273200002</v>
      </c>
      <c r="L211" s="22">
        <f>F211 * G211 * 21.457354</f>
        <v>58.492747003999995</v>
      </c>
      <c r="M211" s="22">
        <f>F211 * G211 * 18.90216</f>
        <v>51.527288159999998</v>
      </c>
      <c r="N211" s="26">
        <f>SUM(H211:M211)</f>
        <v>612.92636869600005</v>
      </c>
      <c r="O211" s="33">
        <v>0.1927441410993711</v>
      </c>
    </row>
    <row r="212" spans="2:16">
      <c r="B212" s="17">
        <v>127</v>
      </c>
      <c r="C212" s="18" t="s">
        <v>514</v>
      </c>
      <c r="D212" s="19" t="s">
        <v>515</v>
      </c>
      <c r="E212" s="19" t="s">
        <v>516</v>
      </c>
      <c r="F212" s="20">
        <v>2.726</v>
      </c>
      <c r="G212" s="21">
        <v>1</v>
      </c>
      <c r="H212" s="22">
        <f>F212 * G212 * 226.82592</f>
        <v>618.32745792000003</v>
      </c>
      <c r="I212" s="22">
        <f>F212 * G212 * 0</f>
        <v>0</v>
      </c>
      <c r="J212" s="22">
        <f>F212 * G212 * 0</f>
        <v>0</v>
      </c>
      <c r="K212" s="22">
        <f>F212 * G212 * 215.938276</f>
        <v>588.647740376</v>
      </c>
      <c r="L212" s="22">
        <f>F212 * G212 * 51.49765</f>
        <v>140.38259389999999</v>
      </c>
      <c r="M212" s="22">
        <f>F212 * G212 * 45.365184</f>
        <v>123.66549158399999</v>
      </c>
      <c r="N212" s="26">
        <f>SUM(H212:M212)</f>
        <v>1471.0232837800002</v>
      </c>
      <c r="O212" s="33">
        <v>0.46258593829559752</v>
      </c>
    </row>
    <row r="213" spans="2:16">
      <c r="B213" s="17">
        <v>128</v>
      </c>
      <c r="C213" s="18" t="s">
        <v>518</v>
      </c>
      <c r="D213" s="19" t="s">
        <v>519</v>
      </c>
      <c r="E213" s="19" t="s">
        <v>74</v>
      </c>
      <c r="F213" s="20">
        <v>0.02</v>
      </c>
      <c r="G213" s="21">
        <v>20</v>
      </c>
      <c r="H213" s="22">
        <f>F213 * G213 * 1134.1296</f>
        <v>453.65183999999999</v>
      </c>
      <c r="I213" s="22">
        <f>F213 * G213 * 0</f>
        <v>0</v>
      </c>
      <c r="J213" s="22">
        <f t="shared" ref="J213:J216" si="8">F213 * G213 * 0</f>
        <v>0</v>
      </c>
      <c r="K213" s="22">
        <f>F213 * G213 * 1079.691379</f>
        <v>431.87655160000008</v>
      </c>
      <c r="L213" s="22">
        <f>F213 * G213 * 257.488247</f>
        <v>102.9952988</v>
      </c>
      <c r="M213" s="22">
        <f>F213 * G213 * 226.82592</f>
        <v>90.730367999999999</v>
      </c>
      <c r="N213" s="26">
        <f t="shared" ref="N213:N216" si="9">SUM(H213:M213)</f>
        <v>1079.2540584000001</v>
      </c>
      <c r="O213" s="33">
        <v>0.33938806867924526</v>
      </c>
    </row>
    <row r="214" spans="2:16">
      <c r="B214" s="17">
        <v>129</v>
      </c>
      <c r="C214" s="18" t="s">
        <v>520</v>
      </c>
      <c r="D214" s="19" t="s">
        <v>521</v>
      </c>
      <c r="E214" s="19" t="s">
        <v>501</v>
      </c>
      <c r="F214" s="20">
        <v>0.02</v>
      </c>
      <c r="G214" s="21">
        <v>20</v>
      </c>
      <c r="H214" s="22">
        <f>F214 * G214 * 459.322488</f>
        <v>183.72899520000001</v>
      </c>
      <c r="I214" s="22">
        <f>F214 * G214 * 2.720736</f>
        <v>1.0882944000000001</v>
      </c>
      <c r="J214" s="22">
        <f t="shared" si="8"/>
        <v>0</v>
      </c>
      <c r="K214" s="22">
        <f>F214 * G214 * 437.275008</f>
        <v>174.91000320000001</v>
      </c>
      <c r="L214" s="22">
        <f>F214 * G214 * 104.569778</f>
        <v>41.827911200000003</v>
      </c>
      <c r="M214" s="22">
        <f>F214 * G214 * 91.864498</f>
        <v>36.7457992</v>
      </c>
      <c r="N214" s="26">
        <f t="shared" si="9"/>
        <v>438.30100320000003</v>
      </c>
      <c r="O214" s="33">
        <v>0.13783050415094342</v>
      </c>
    </row>
    <row r="215" spans="2:16">
      <c r="B215" s="17">
        <v>130</v>
      </c>
      <c r="C215" s="18" t="s">
        <v>522</v>
      </c>
      <c r="D215" s="19" t="s">
        <v>523</v>
      </c>
      <c r="E215" s="19" t="s">
        <v>524</v>
      </c>
      <c r="F215" s="20">
        <v>1E-3</v>
      </c>
      <c r="G215" s="21">
        <v>52</v>
      </c>
      <c r="H215" s="22">
        <f>F215 * G215 * 14743.6848</f>
        <v>766.67160960000012</v>
      </c>
      <c r="I215" s="22">
        <f>F215 * G215 * 0</f>
        <v>0</v>
      </c>
      <c r="J215" s="22">
        <f t="shared" si="8"/>
        <v>0</v>
      </c>
      <c r="K215" s="22">
        <f>F215 * G215 * 14035.98793</f>
        <v>729.87137236000001</v>
      </c>
      <c r="L215" s="22">
        <f>F215 * G215 * 3347.347222</f>
        <v>174.062055544</v>
      </c>
      <c r="M215" s="22">
        <f>F215 * G215 * 2948.73696</f>
        <v>153.33432192000004</v>
      </c>
      <c r="N215" s="26">
        <f t="shared" si="9"/>
        <v>1823.9393594240003</v>
      </c>
      <c r="O215" s="33">
        <v>0.57356583629685542</v>
      </c>
    </row>
    <row r="216" spans="2:16" ht="16.5" thickBot="1">
      <c r="B216" s="17">
        <v>131</v>
      </c>
      <c r="C216" s="18" t="s">
        <v>525</v>
      </c>
      <c r="D216" s="19" t="s">
        <v>526</v>
      </c>
      <c r="E216" s="19" t="s">
        <v>517</v>
      </c>
      <c r="F216" s="20">
        <v>1</v>
      </c>
      <c r="G216" s="21">
        <v>2</v>
      </c>
      <c r="H216" s="22">
        <f>F216 * G216 * 75.60864</f>
        <v>151.21727999999999</v>
      </c>
      <c r="I216" s="22">
        <f>F216 * G216 * 0</f>
        <v>0</v>
      </c>
      <c r="J216" s="22">
        <f t="shared" si="8"/>
        <v>0</v>
      </c>
      <c r="K216" s="22">
        <f>F216 * G216 * 71.9794249999999</f>
        <v>143.95884999999981</v>
      </c>
      <c r="L216" s="22">
        <f>F216 * G216 * 17.1658829999999</f>
        <v>34.331765999999803</v>
      </c>
      <c r="M216" s="22">
        <f>F216 * G216 * 15.121728</f>
        <v>30.243455999999998</v>
      </c>
      <c r="N216" s="26">
        <f t="shared" si="9"/>
        <v>359.7513519999996</v>
      </c>
      <c r="O216" s="34">
        <v>0.11312935597484264</v>
      </c>
    </row>
    <row r="217" spans="2:16" s="23" customFormat="1" ht="20.100000000000001" customHeight="1" thickTop="1" thickBot="1">
      <c r="B217" s="51" t="s">
        <v>527</v>
      </c>
      <c r="C217" s="51"/>
      <c r="D217" s="51"/>
      <c r="E217" s="51"/>
      <c r="F217" s="51"/>
      <c r="G217" s="51"/>
      <c r="H217" s="24">
        <f t="shared" ref="H217:N217" si="10">SUM(H4:H216)</f>
        <v>33241.9470934704</v>
      </c>
      <c r="I217" s="24">
        <f t="shared" si="10"/>
        <v>64885.978962720197</v>
      </c>
      <c r="J217" s="24">
        <f t="shared" si="10"/>
        <v>35.999726527999997</v>
      </c>
      <c r="K217" s="24">
        <f t="shared" si="10"/>
        <v>31648.440923620696</v>
      </c>
      <c r="L217" s="24">
        <f t="shared" si="10"/>
        <v>14396.656451269597</v>
      </c>
      <c r="M217" s="24">
        <f t="shared" si="10"/>
        <v>6648.8321227028009</v>
      </c>
      <c r="N217" s="25">
        <f t="shared" si="10"/>
        <v>150857.85528031172</v>
      </c>
      <c r="O217" s="29">
        <f t="shared" ref="O217" si="11">SUM(O4:O216)</f>
        <v>47.439577132173497</v>
      </c>
      <c r="P217" s="23">
        <v>150869.375238012</v>
      </c>
    </row>
    <row r="218" spans="2:16" ht="16.5" thickTop="1"/>
  </sheetData>
  <mergeCells count="86">
    <mergeCell ref="D207:N207"/>
    <mergeCell ref="D209:N209"/>
    <mergeCell ref="B217:G217"/>
    <mergeCell ref="D205:N205"/>
    <mergeCell ref="D206:N206"/>
    <mergeCell ref="D187:N187"/>
    <mergeCell ref="D193:N193"/>
    <mergeCell ref="D199:N199"/>
    <mergeCell ref="D202:N202"/>
    <mergeCell ref="D203:N203"/>
    <mergeCell ref="D164:N164"/>
    <mergeCell ref="D168:N168"/>
    <mergeCell ref="D170:N170"/>
    <mergeCell ref="D172:N172"/>
    <mergeCell ref="D173:N173"/>
    <mergeCell ref="D176:N176"/>
    <mergeCell ref="D180:N180"/>
    <mergeCell ref="D181:N181"/>
    <mergeCell ref="D140:N140"/>
    <mergeCell ref="D144:N144"/>
    <mergeCell ref="D146:N146"/>
    <mergeCell ref="D147:N147"/>
    <mergeCell ref="D150:N150"/>
    <mergeCell ref="D152:N152"/>
    <mergeCell ref="D155:N155"/>
    <mergeCell ref="D159:N159"/>
    <mergeCell ref="D163:N163"/>
    <mergeCell ref="D121:N121"/>
    <mergeCell ref="D122:N122"/>
    <mergeCell ref="D125:N125"/>
    <mergeCell ref="D127:N127"/>
    <mergeCell ref="D128:N128"/>
    <mergeCell ref="D130:N130"/>
    <mergeCell ref="D131:N131"/>
    <mergeCell ref="D138:N138"/>
    <mergeCell ref="D105:N105"/>
    <mergeCell ref="D107:N107"/>
    <mergeCell ref="D109:N109"/>
    <mergeCell ref="D111:N111"/>
    <mergeCell ref="D112:N112"/>
    <mergeCell ref="D119:N119"/>
    <mergeCell ref="D98:N98"/>
    <mergeCell ref="D99:N99"/>
    <mergeCell ref="D100:N100"/>
    <mergeCell ref="D103:N103"/>
    <mergeCell ref="D88:N88"/>
    <mergeCell ref="D92:N92"/>
    <mergeCell ref="D93:N93"/>
    <mergeCell ref="D95:N95"/>
    <mergeCell ref="D84:N84"/>
    <mergeCell ref="D86:N86"/>
    <mergeCell ref="D87:N87"/>
    <mergeCell ref="D57:N57"/>
    <mergeCell ref="D65:N65"/>
    <mergeCell ref="D67:N67"/>
    <mergeCell ref="D71:N71"/>
    <mergeCell ref="D72:N72"/>
    <mergeCell ref="D82:N82"/>
    <mergeCell ref="D37:N37"/>
    <mergeCell ref="D38:N38"/>
    <mergeCell ref="D39:N39"/>
    <mergeCell ref="D43:N43"/>
    <mergeCell ref="D44:N44"/>
    <mergeCell ref="D47:N47"/>
    <mergeCell ref="D48:N48"/>
    <mergeCell ref="D52:N52"/>
    <mergeCell ref="D55:N55"/>
    <mergeCell ref="D29:N29"/>
    <mergeCell ref="D30:N30"/>
    <mergeCell ref="D33:N33"/>
    <mergeCell ref="D34:N34"/>
    <mergeCell ref="D35:N35"/>
    <mergeCell ref="D13:N13"/>
    <mergeCell ref="D14:N14"/>
    <mergeCell ref="D16:N16"/>
    <mergeCell ref="D19:N19"/>
    <mergeCell ref="D20:N20"/>
    <mergeCell ref="D22:N22"/>
    <mergeCell ref="D24:N24"/>
    <mergeCell ref="B2:K3"/>
    <mergeCell ref="L2:M2"/>
    <mergeCell ref="L3:M3"/>
    <mergeCell ref="D4:N4"/>
    <mergeCell ref="D5:N5"/>
    <mergeCell ref="D10:N10"/>
    <mergeCell ref="D11:N11"/>
  </mergeCells>
  <pageMargins left="0.7" right="0.7" top="0.75" bottom="0.75" header="0.3" footer="0.3"/>
  <pageSetup paperSize="9" fitToHeight="0" orientation="landscape" horizontalDpi="4294967295" verticalDpi="4294967295"/>
  <headerFooter>
    <oddHeader>&amp;C&amp;KCCCCCC&amp;"Arial"1.10 МКД с уборкой придомовой территории, отопление, ГВС, ХПВ, водоотведение, э.энергия, без газа и элктроплит. Квартирного типа</oddHeader>
    <oddFooter>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1.10 МКД с уборкой придомовой территории, отопление, ГВС, ХПВ, водоотведение, э.энергия, без газа и элктроплит. Квартирного типа</dc:title>
  <dc:creator/>
  <cp:lastModifiedBy/>
  <cp:lastPrinted>2024-11-18T10:43:22Z</cp:lastPrinted>
  <dcterms:created xsi:type="dcterms:W3CDTF">2024-11-18T10:43:22Z</dcterms:created>
  <dcterms:modified xsi:type="dcterms:W3CDTF">2024-11-19T11:19:14Z</dcterms:modified>
</cp:coreProperties>
</file>