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70" windowWidth="38055" windowHeight="11955"/>
  </bookViews>
  <sheets>
    <sheet name="Смета" sheetId="1" r:id="rId1"/>
  </sheets>
  <definedNames>
    <definedName name="_xlnm._FilterDatabase" localSheetId="0" hidden="1">Смета!$M$1:$N$350</definedName>
    <definedName name="_xlnm.Print_Titles" localSheetId="0">Смета!$1:$1</definedName>
  </definedNames>
  <calcPr calcId="124519"/>
</workbook>
</file>

<file path=xl/calcChain.xml><?xml version="1.0" encoding="utf-8"?>
<calcChain xmlns="http://schemas.openxmlformats.org/spreadsheetml/2006/main">
  <c r="O350" i="1"/>
  <c r="M349"/>
  <c r="L349"/>
  <c r="K349"/>
  <c r="J349"/>
  <c r="I349"/>
  <c r="H349"/>
  <c r="M348"/>
  <c r="L348"/>
  <c r="K348"/>
  <c r="J348"/>
  <c r="I348"/>
  <c r="H348"/>
  <c r="M345"/>
  <c r="L345"/>
  <c r="K345"/>
  <c r="J345"/>
  <c r="I345"/>
  <c r="H345"/>
  <c r="M344"/>
  <c r="L344"/>
  <c r="K344"/>
  <c r="J344"/>
  <c r="I344"/>
  <c r="H344"/>
  <c r="M342"/>
  <c r="L342"/>
  <c r="K342"/>
  <c r="J342"/>
  <c r="I342"/>
  <c r="H342"/>
  <c r="M341"/>
  <c r="L341"/>
  <c r="K341"/>
  <c r="J341"/>
  <c r="I341"/>
  <c r="H341"/>
  <c r="M338"/>
  <c r="L338"/>
  <c r="K338"/>
  <c r="J338"/>
  <c r="I338"/>
  <c r="H338"/>
  <c r="M337"/>
  <c r="L337"/>
  <c r="K337"/>
  <c r="J337"/>
  <c r="I337"/>
  <c r="H337"/>
  <c r="M336"/>
  <c r="L336"/>
  <c r="K336"/>
  <c r="J336"/>
  <c r="I336"/>
  <c r="H336"/>
  <c r="M335"/>
  <c r="L335"/>
  <c r="K335"/>
  <c r="J335"/>
  <c r="I335"/>
  <c r="H335"/>
  <c r="M334"/>
  <c r="L334"/>
  <c r="K334"/>
  <c r="J334"/>
  <c r="I334"/>
  <c r="H334"/>
  <c r="M333"/>
  <c r="L333"/>
  <c r="K333"/>
  <c r="J333"/>
  <c r="I333"/>
  <c r="H333"/>
  <c r="M332"/>
  <c r="L332"/>
  <c r="K332"/>
  <c r="J332"/>
  <c r="I332"/>
  <c r="H332"/>
  <c r="M331"/>
  <c r="L331"/>
  <c r="K331"/>
  <c r="J331"/>
  <c r="I331"/>
  <c r="H331"/>
  <c r="M330"/>
  <c r="L330"/>
  <c r="K330"/>
  <c r="J330"/>
  <c r="I330"/>
  <c r="H330"/>
  <c r="M329"/>
  <c r="L329"/>
  <c r="K329"/>
  <c r="J329"/>
  <c r="I329"/>
  <c r="H329"/>
  <c r="M328"/>
  <c r="L328"/>
  <c r="K328"/>
  <c r="J328"/>
  <c r="I328"/>
  <c r="H328"/>
  <c r="M326"/>
  <c r="L326"/>
  <c r="K326"/>
  <c r="J326"/>
  <c r="I326"/>
  <c r="H326"/>
  <c r="M325"/>
  <c r="L325"/>
  <c r="K325"/>
  <c r="J325"/>
  <c r="I325"/>
  <c r="H325"/>
  <c r="M323"/>
  <c r="L323"/>
  <c r="K323"/>
  <c r="J323"/>
  <c r="I323"/>
  <c r="H323"/>
  <c r="M322"/>
  <c r="L322"/>
  <c r="K322"/>
  <c r="J322"/>
  <c r="I322"/>
  <c r="H322"/>
  <c r="M321"/>
  <c r="L321"/>
  <c r="K321"/>
  <c r="J321"/>
  <c r="I321"/>
  <c r="H321"/>
  <c r="M320"/>
  <c r="L320"/>
  <c r="K320"/>
  <c r="J320"/>
  <c r="I320"/>
  <c r="H320"/>
  <c r="M318"/>
  <c r="L318"/>
  <c r="K318"/>
  <c r="J318"/>
  <c r="I318"/>
  <c r="H318"/>
  <c r="M316"/>
  <c r="L316"/>
  <c r="K316"/>
  <c r="J316"/>
  <c r="I316"/>
  <c r="H316"/>
  <c r="M314"/>
  <c r="L314"/>
  <c r="K314"/>
  <c r="J314"/>
  <c r="I314"/>
  <c r="H314"/>
  <c r="M313"/>
  <c r="L313"/>
  <c r="K313"/>
  <c r="J313"/>
  <c r="I313"/>
  <c r="H313"/>
  <c r="M312"/>
  <c r="L312"/>
  <c r="K312"/>
  <c r="J312"/>
  <c r="I312"/>
  <c r="H312"/>
  <c r="M311"/>
  <c r="L311"/>
  <c r="K311"/>
  <c r="J311"/>
  <c r="I311"/>
  <c r="H311"/>
  <c r="M310"/>
  <c r="L310"/>
  <c r="K310"/>
  <c r="J310"/>
  <c r="I310"/>
  <c r="H310"/>
  <c r="M309"/>
  <c r="L309"/>
  <c r="K309"/>
  <c r="J309"/>
  <c r="I309"/>
  <c r="H309"/>
  <c r="M307"/>
  <c r="L307"/>
  <c r="K307"/>
  <c r="J307"/>
  <c r="I307"/>
  <c r="H307"/>
  <c r="M306"/>
  <c r="L306"/>
  <c r="K306"/>
  <c r="J306"/>
  <c r="I306"/>
  <c r="H306"/>
  <c r="M305"/>
  <c r="L305"/>
  <c r="K305"/>
  <c r="J305"/>
  <c r="I305"/>
  <c r="H305"/>
  <c r="M304"/>
  <c r="L304"/>
  <c r="K304"/>
  <c r="J304"/>
  <c r="I304"/>
  <c r="H304"/>
  <c r="M303"/>
  <c r="L303"/>
  <c r="K303"/>
  <c r="J303"/>
  <c r="I303"/>
  <c r="H303"/>
  <c r="M300"/>
  <c r="L300"/>
  <c r="K300"/>
  <c r="J300"/>
  <c r="I300"/>
  <c r="H300"/>
  <c r="M299"/>
  <c r="L299"/>
  <c r="K299"/>
  <c r="J299"/>
  <c r="I299"/>
  <c r="H299"/>
  <c r="M297"/>
  <c r="L297"/>
  <c r="K297"/>
  <c r="J297"/>
  <c r="I297"/>
  <c r="H297"/>
  <c r="M295"/>
  <c r="L295"/>
  <c r="K295"/>
  <c r="J295"/>
  <c r="I295"/>
  <c r="H295"/>
  <c r="M294"/>
  <c r="L294"/>
  <c r="K294"/>
  <c r="J294"/>
  <c r="I294"/>
  <c r="H294"/>
  <c r="M293"/>
  <c r="L293"/>
  <c r="K293"/>
  <c r="J293"/>
  <c r="I293"/>
  <c r="H293"/>
  <c r="M290"/>
  <c r="L290"/>
  <c r="K290"/>
  <c r="J290"/>
  <c r="I290"/>
  <c r="H290"/>
  <c r="M287"/>
  <c r="L287"/>
  <c r="K287"/>
  <c r="J287"/>
  <c r="I287"/>
  <c r="H287"/>
  <c r="M286"/>
  <c r="L286"/>
  <c r="K286"/>
  <c r="J286"/>
  <c r="I286"/>
  <c r="H286"/>
  <c r="M285"/>
  <c r="L285"/>
  <c r="K285"/>
  <c r="J285"/>
  <c r="I285"/>
  <c r="H285"/>
  <c r="M284"/>
  <c r="L284"/>
  <c r="K284"/>
  <c r="J284"/>
  <c r="I284"/>
  <c r="H284"/>
  <c r="M283"/>
  <c r="L283"/>
  <c r="K283"/>
  <c r="J283"/>
  <c r="I283"/>
  <c r="H283"/>
  <c r="M282"/>
  <c r="L282"/>
  <c r="K282"/>
  <c r="J282"/>
  <c r="I282"/>
  <c r="H282"/>
  <c r="M281"/>
  <c r="L281"/>
  <c r="K281"/>
  <c r="J281"/>
  <c r="I281"/>
  <c r="H281"/>
  <c r="M279"/>
  <c r="L279"/>
  <c r="K279"/>
  <c r="J279"/>
  <c r="I279"/>
  <c r="H279"/>
  <c r="M278"/>
  <c r="L278"/>
  <c r="K278"/>
  <c r="J278"/>
  <c r="I278"/>
  <c r="H278"/>
  <c r="M275"/>
  <c r="L275"/>
  <c r="K275"/>
  <c r="J275"/>
  <c r="I275"/>
  <c r="H275"/>
  <c r="M274"/>
  <c r="L274"/>
  <c r="K274"/>
  <c r="J274"/>
  <c r="I274"/>
  <c r="H274"/>
  <c r="M273"/>
  <c r="L273"/>
  <c r="K273"/>
  <c r="J273"/>
  <c r="I273"/>
  <c r="H273"/>
  <c r="M271"/>
  <c r="L271"/>
  <c r="K271"/>
  <c r="J271"/>
  <c r="I271"/>
  <c r="H271"/>
  <c r="M270"/>
  <c r="L270"/>
  <c r="K270"/>
  <c r="J270"/>
  <c r="I270"/>
  <c r="H270"/>
  <c r="M268"/>
  <c r="L268"/>
  <c r="K268"/>
  <c r="J268"/>
  <c r="I268"/>
  <c r="H268"/>
  <c r="M267"/>
  <c r="L267"/>
  <c r="K267"/>
  <c r="J267"/>
  <c r="I267"/>
  <c r="H267"/>
  <c r="M265"/>
  <c r="L265"/>
  <c r="K265"/>
  <c r="J265"/>
  <c r="I265"/>
  <c r="H265"/>
  <c r="M264"/>
  <c r="L264"/>
  <c r="K264"/>
  <c r="J264"/>
  <c r="I264"/>
  <c r="H264"/>
  <c r="M259"/>
  <c r="L259"/>
  <c r="K259"/>
  <c r="J259"/>
  <c r="I259"/>
  <c r="H259"/>
  <c r="M256"/>
  <c r="L256"/>
  <c r="K256"/>
  <c r="J256"/>
  <c r="I256"/>
  <c r="H256"/>
  <c r="M255"/>
  <c r="L255"/>
  <c r="K255"/>
  <c r="J255"/>
  <c r="I255"/>
  <c r="H255"/>
  <c r="M253"/>
  <c r="L253"/>
  <c r="K253"/>
  <c r="J253"/>
  <c r="I253"/>
  <c r="H253"/>
  <c r="M252"/>
  <c r="L252"/>
  <c r="K252"/>
  <c r="J252"/>
  <c r="I252"/>
  <c r="H252"/>
  <c r="M251"/>
  <c r="L251"/>
  <c r="K251"/>
  <c r="J251"/>
  <c r="I251"/>
  <c r="H251"/>
  <c r="M250"/>
  <c r="L250"/>
  <c r="K250"/>
  <c r="J250"/>
  <c r="I250"/>
  <c r="H250"/>
  <c r="M247"/>
  <c r="L247"/>
  <c r="K247"/>
  <c r="J247"/>
  <c r="I247"/>
  <c r="H247"/>
  <c r="M246"/>
  <c r="L246"/>
  <c r="K246"/>
  <c r="J246"/>
  <c r="I246"/>
  <c r="H246"/>
  <c r="M245"/>
  <c r="L245"/>
  <c r="K245"/>
  <c r="J245"/>
  <c r="I245"/>
  <c r="H245"/>
  <c r="M244"/>
  <c r="L244"/>
  <c r="K244"/>
  <c r="J244"/>
  <c r="I244"/>
  <c r="H244"/>
  <c r="M243"/>
  <c r="L243"/>
  <c r="K243"/>
  <c r="J243"/>
  <c r="I243"/>
  <c r="H243"/>
  <c r="M242"/>
  <c r="L242"/>
  <c r="K242"/>
  <c r="J242"/>
  <c r="I242"/>
  <c r="H242"/>
  <c r="M239"/>
  <c r="L239"/>
  <c r="K239"/>
  <c r="J239"/>
  <c r="I239"/>
  <c r="H239"/>
  <c r="M237"/>
  <c r="L237"/>
  <c r="K237"/>
  <c r="J237"/>
  <c r="I237"/>
  <c r="H237"/>
  <c r="M236"/>
  <c r="L236"/>
  <c r="K236"/>
  <c r="J236"/>
  <c r="I236"/>
  <c r="H236"/>
  <c r="M235"/>
  <c r="L235"/>
  <c r="K235"/>
  <c r="J235"/>
  <c r="I235"/>
  <c r="H235"/>
  <c r="M233"/>
  <c r="L233"/>
  <c r="K233"/>
  <c r="J233"/>
  <c r="I233"/>
  <c r="H233"/>
  <c r="M231"/>
  <c r="L231"/>
  <c r="K231"/>
  <c r="J231"/>
  <c r="I231"/>
  <c r="H231"/>
  <c r="M229"/>
  <c r="L229"/>
  <c r="K229"/>
  <c r="J229"/>
  <c r="I229"/>
  <c r="H229"/>
  <c r="M227"/>
  <c r="L227"/>
  <c r="K227"/>
  <c r="J227"/>
  <c r="I227"/>
  <c r="H227"/>
  <c r="M226"/>
  <c r="L226"/>
  <c r="K226"/>
  <c r="J226"/>
  <c r="I226"/>
  <c r="H226"/>
  <c r="M225"/>
  <c r="L225"/>
  <c r="K225"/>
  <c r="J225"/>
  <c r="I225"/>
  <c r="H225"/>
  <c r="M222"/>
  <c r="L222"/>
  <c r="K222"/>
  <c r="J222"/>
  <c r="I222"/>
  <c r="H222"/>
  <c r="M221"/>
  <c r="L221"/>
  <c r="K221"/>
  <c r="J221"/>
  <c r="I221"/>
  <c r="H221"/>
  <c r="M220"/>
  <c r="L220"/>
  <c r="K220"/>
  <c r="J220"/>
  <c r="I220"/>
  <c r="H220"/>
  <c r="M218"/>
  <c r="L218"/>
  <c r="K218"/>
  <c r="J218"/>
  <c r="I218"/>
  <c r="H218"/>
  <c r="M217"/>
  <c r="L217"/>
  <c r="K217"/>
  <c r="J217"/>
  <c r="I217"/>
  <c r="H217"/>
  <c r="M215"/>
  <c r="L215"/>
  <c r="K215"/>
  <c r="J215"/>
  <c r="I215"/>
  <c r="H215"/>
  <c r="M214"/>
  <c r="L214"/>
  <c r="K214"/>
  <c r="J214"/>
  <c r="I214"/>
  <c r="H214"/>
  <c r="M213"/>
  <c r="L213"/>
  <c r="K213"/>
  <c r="J213"/>
  <c r="I213"/>
  <c r="H213"/>
  <c r="M212"/>
  <c r="L212"/>
  <c r="K212"/>
  <c r="J212"/>
  <c r="I212"/>
  <c r="H212"/>
  <c r="M210"/>
  <c r="L210"/>
  <c r="K210"/>
  <c r="J210"/>
  <c r="I210"/>
  <c r="H210"/>
  <c r="M208"/>
  <c r="L208"/>
  <c r="K208"/>
  <c r="J208"/>
  <c r="I208"/>
  <c r="H208"/>
  <c r="M207"/>
  <c r="L207"/>
  <c r="K207"/>
  <c r="J207"/>
  <c r="I207"/>
  <c r="H207"/>
  <c r="M204"/>
  <c r="L204"/>
  <c r="K204"/>
  <c r="J204"/>
  <c r="I204"/>
  <c r="H204"/>
  <c r="M203"/>
  <c r="L203"/>
  <c r="K203"/>
  <c r="J203"/>
  <c r="I203"/>
  <c r="H203"/>
  <c r="M201"/>
  <c r="L201"/>
  <c r="K201"/>
  <c r="J201"/>
  <c r="I201"/>
  <c r="H201"/>
  <c r="M200"/>
  <c r="L200"/>
  <c r="K200"/>
  <c r="J200"/>
  <c r="I200"/>
  <c r="H200"/>
  <c r="M199"/>
  <c r="L199"/>
  <c r="K199"/>
  <c r="J199"/>
  <c r="I199"/>
  <c r="H199"/>
  <c r="M197"/>
  <c r="L197"/>
  <c r="K197"/>
  <c r="J197"/>
  <c r="I197"/>
  <c r="H197"/>
  <c r="M195"/>
  <c r="L195"/>
  <c r="K195"/>
  <c r="J195"/>
  <c r="I195"/>
  <c r="H195"/>
  <c r="M194"/>
  <c r="L194"/>
  <c r="K194"/>
  <c r="J194"/>
  <c r="I194"/>
  <c r="H194"/>
  <c r="M193"/>
  <c r="L193"/>
  <c r="K193"/>
  <c r="J193"/>
  <c r="I193"/>
  <c r="H193"/>
  <c r="M192"/>
  <c r="L192"/>
  <c r="K192"/>
  <c r="J192"/>
  <c r="I192"/>
  <c r="H192"/>
  <c r="M191"/>
  <c r="L191"/>
  <c r="K191"/>
  <c r="J191"/>
  <c r="I191"/>
  <c r="H191"/>
  <c r="M190"/>
  <c r="L190"/>
  <c r="K190"/>
  <c r="J190"/>
  <c r="I190"/>
  <c r="H190"/>
  <c r="M187"/>
  <c r="L187"/>
  <c r="K187"/>
  <c r="J187"/>
  <c r="I187"/>
  <c r="H187"/>
  <c r="M185"/>
  <c r="L185"/>
  <c r="K185"/>
  <c r="J185"/>
  <c r="I185"/>
  <c r="H185"/>
  <c r="M184"/>
  <c r="L184"/>
  <c r="K184"/>
  <c r="J184"/>
  <c r="I184"/>
  <c r="H184"/>
  <c r="M183"/>
  <c r="L183"/>
  <c r="K183"/>
  <c r="J183"/>
  <c r="I183"/>
  <c r="H183"/>
  <c r="M182"/>
  <c r="L182"/>
  <c r="K182"/>
  <c r="J182"/>
  <c r="I182"/>
  <c r="H182"/>
  <c r="M179"/>
  <c r="L179"/>
  <c r="K179"/>
  <c r="J179"/>
  <c r="I179"/>
  <c r="H179"/>
  <c r="M178"/>
  <c r="L178"/>
  <c r="K178"/>
  <c r="J178"/>
  <c r="I178"/>
  <c r="H178"/>
  <c r="M176"/>
  <c r="L176"/>
  <c r="K176"/>
  <c r="J176"/>
  <c r="I176"/>
  <c r="H176"/>
  <c r="M175"/>
  <c r="L175"/>
  <c r="K175"/>
  <c r="J175"/>
  <c r="I175"/>
  <c r="H175"/>
  <c r="M174"/>
  <c r="L174"/>
  <c r="K174"/>
  <c r="J174"/>
  <c r="I174"/>
  <c r="H174"/>
  <c r="M171"/>
  <c r="L171"/>
  <c r="K171"/>
  <c r="J171"/>
  <c r="I171"/>
  <c r="H171"/>
  <c r="M170"/>
  <c r="L170"/>
  <c r="K170"/>
  <c r="J170"/>
  <c r="I170"/>
  <c r="H170"/>
  <c r="M168"/>
  <c r="L168"/>
  <c r="K168"/>
  <c r="J168"/>
  <c r="I168"/>
  <c r="H168"/>
  <c r="M167"/>
  <c r="L167"/>
  <c r="K167"/>
  <c r="J167"/>
  <c r="I167"/>
  <c r="H167"/>
  <c r="M165"/>
  <c r="L165"/>
  <c r="K165"/>
  <c r="J165"/>
  <c r="I165"/>
  <c r="H165"/>
  <c r="M162"/>
  <c r="L162"/>
  <c r="K162"/>
  <c r="J162"/>
  <c r="I162"/>
  <c r="H162"/>
  <c r="M161"/>
  <c r="L161"/>
  <c r="K161"/>
  <c r="J161"/>
  <c r="I161"/>
  <c r="H161"/>
  <c r="M159"/>
  <c r="L159"/>
  <c r="K159"/>
  <c r="J159"/>
  <c r="I159"/>
  <c r="H159"/>
  <c r="M157"/>
  <c r="L157"/>
  <c r="K157"/>
  <c r="J157"/>
  <c r="I157"/>
  <c r="H157"/>
  <c r="M155"/>
  <c r="L155"/>
  <c r="K155"/>
  <c r="J155"/>
  <c r="I155"/>
  <c r="H155"/>
  <c r="M154"/>
  <c r="L154"/>
  <c r="K154"/>
  <c r="J154"/>
  <c r="I154"/>
  <c r="H154"/>
  <c r="M153"/>
  <c r="L153"/>
  <c r="K153"/>
  <c r="J153"/>
  <c r="I153"/>
  <c r="H153"/>
  <c r="M149"/>
  <c r="L149"/>
  <c r="K149"/>
  <c r="J149"/>
  <c r="I149"/>
  <c r="H149"/>
  <c r="M147"/>
  <c r="L147"/>
  <c r="K147"/>
  <c r="J147"/>
  <c r="I147"/>
  <c r="H147"/>
  <c r="M146"/>
  <c r="L146"/>
  <c r="K146"/>
  <c r="J146"/>
  <c r="I146"/>
  <c r="H146"/>
  <c r="M145"/>
  <c r="L145"/>
  <c r="K145"/>
  <c r="J145"/>
  <c r="I145"/>
  <c r="H145"/>
  <c r="M143"/>
  <c r="L143"/>
  <c r="K143"/>
  <c r="J143"/>
  <c r="I143"/>
  <c r="H143"/>
  <c r="M140"/>
  <c r="L140"/>
  <c r="K140"/>
  <c r="J140"/>
  <c r="I140"/>
  <c r="H140"/>
  <c r="M137"/>
  <c r="L137"/>
  <c r="K137"/>
  <c r="J137"/>
  <c r="I137"/>
  <c r="H137"/>
  <c r="M135"/>
  <c r="L135"/>
  <c r="K135"/>
  <c r="J135"/>
  <c r="I135"/>
  <c r="H135"/>
  <c r="M132"/>
  <c r="L132"/>
  <c r="K132"/>
  <c r="J132"/>
  <c r="I132"/>
  <c r="H132"/>
  <c r="M131"/>
  <c r="L131"/>
  <c r="K131"/>
  <c r="J131"/>
  <c r="I131"/>
  <c r="H131"/>
  <c r="M127"/>
  <c r="L127"/>
  <c r="K127"/>
  <c r="J127"/>
  <c r="I127"/>
  <c r="H127"/>
  <c r="M126"/>
  <c r="L126"/>
  <c r="K126"/>
  <c r="J126"/>
  <c r="I126"/>
  <c r="H126"/>
  <c r="M125"/>
  <c r="L125"/>
  <c r="K125"/>
  <c r="J125"/>
  <c r="I125"/>
  <c r="H125"/>
  <c r="M123"/>
  <c r="L123"/>
  <c r="K123"/>
  <c r="J123"/>
  <c r="I123"/>
  <c r="H123"/>
  <c r="M121"/>
  <c r="L121"/>
  <c r="K121"/>
  <c r="J121"/>
  <c r="I121"/>
  <c r="H121"/>
  <c r="M120"/>
  <c r="L120"/>
  <c r="K120"/>
  <c r="J120"/>
  <c r="I120"/>
  <c r="H120"/>
  <c r="M117"/>
  <c r="L117"/>
  <c r="K117"/>
  <c r="J117"/>
  <c r="I117"/>
  <c r="H117"/>
  <c r="M116"/>
  <c r="L116"/>
  <c r="K116"/>
  <c r="J116"/>
  <c r="I116"/>
  <c r="H116"/>
  <c r="M113"/>
  <c r="L113"/>
  <c r="K113"/>
  <c r="J113"/>
  <c r="I113"/>
  <c r="H113"/>
  <c r="M112"/>
  <c r="L112"/>
  <c r="K112"/>
  <c r="J112"/>
  <c r="I112"/>
  <c r="H112"/>
  <c r="M110"/>
  <c r="L110"/>
  <c r="K110"/>
  <c r="J110"/>
  <c r="I110"/>
  <c r="H110"/>
  <c r="M108"/>
  <c r="L108"/>
  <c r="K108"/>
  <c r="J108"/>
  <c r="I108"/>
  <c r="H108"/>
  <c r="M106"/>
  <c r="L106"/>
  <c r="K106"/>
  <c r="J106"/>
  <c r="I106"/>
  <c r="H106"/>
  <c r="M105"/>
  <c r="L105"/>
  <c r="K105"/>
  <c r="J105"/>
  <c r="I105"/>
  <c r="H105"/>
  <c r="M104"/>
  <c r="L104"/>
  <c r="K104"/>
  <c r="J104"/>
  <c r="I104"/>
  <c r="H104"/>
  <c r="M103"/>
  <c r="L103"/>
  <c r="K103"/>
  <c r="J103"/>
  <c r="I103"/>
  <c r="H103"/>
  <c r="M102"/>
  <c r="L102"/>
  <c r="K102"/>
  <c r="J102"/>
  <c r="I102"/>
  <c r="H102"/>
  <c r="M101"/>
  <c r="L101"/>
  <c r="K101"/>
  <c r="J101"/>
  <c r="I101"/>
  <c r="H101"/>
  <c r="M100"/>
  <c r="L100"/>
  <c r="K100"/>
  <c r="J100"/>
  <c r="I100"/>
  <c r="H100"/>
  <c r="M99"/>
  <c r="L99"/>
  <c r="K99"/>
  <c r="J99"/>
  <c r="I99"/>
  <c r="H99"/>
  <c r="M97"/>
  <c r="L97"/>
  <c r="K97"/>
  <c r="J97"/>
  <c r="I97"/>
  <c r="H97"/>
  <c r="M96"/>
  <c r="L96"/>
  <c r="K96"/>
  <c r="J96"/>
  <c r="I96"/>
  <c r="H96"/>
  <c r="M95"/>
  <c r="L95"/>
  <c r="K95"/>
  <c r="J95"/>
  <c r="I95"/>
  <c r="H95"/>
  <c r="M94"/>
  <c r="L94"/>
  <c r="K94"/>
  <c r="J94"/>
  <c r="I94"/>
  <c r="H94"/>
  <c r="M93"/>
  <c r="L93"/>
  <c r="K93"/>
  <c r="J93"/>
  <c r="I93"/>
  <c r="H93"/>
  <c r="M92"/>
  <c r="L92"/>
  <c r="K92"/>
  <c r="J92"/>
  <c r="I92"/>
  <c r="H92"/>
  <c r="M91"/>
  <c r="L91"/>
  <c r="K91"/>
  <c r="J91"/>
  <c r="I91"/>
  <c r="H91"/>
  <c r="M90"/>
  <c r="L90"/>
  <c r="K90"/>
  <c r="J90"/>
  <c r="I90"/>
  <c r="H90"/>
  <c r="M89"/>
  <c r="L89"/>
  <c r="K89"/>
  <c r="J89"/>
  <c r="I89"/>
  <c r="H89"/>
  <c r="M88"/>
  <c r="L88"/>
  <c r="K88"/>
  <c r="J88"/>
  <c r="I88"/>
  <c r="H88"/>
  <c r="M87"/>
  <c r="L87"/>
  <c r="K87"/>
  <c r="J87"/>
  <c r="I87"/>
  <c r="H87"/>
  <c r="M86"/>
  <c r="L86"/>
  <c r="K86"/>
  <c r="J86"/>
  <c r="I86"/>
  <c r="H86"/>
  <c r="M83"/>
  <c r="L83"/>
  <c r="K83"/>
  <c r="J83"/>
  <c r="I83"/>
  <c r="H83"/>
  <c r="M82"/>
  <c r="L82"/>
  <c r="K82"/>
  <c r="J82"/>
  <c r="I82"/>
  <c r="H82"/>
  <c r="M80"/>
  <c r="L80"/>
  <c r="K80"/>
  <c r="J80"/>
  <c r="I80"/>
  <c r="H80"/>
  <c r="M78"/>
  <c r="L78"/>
  <c r="K78"/>
  <c r="J78"/>
  <c r="I78"/>
  <c r="H78"/>
  <c r="M76"/>
  <c r="L76"/>
  <c r="K76"/>
  <c r="J76"/>
  <c r="I76"/>
  <c r="H76"/>
  <c r="M74"/>
  <c r="L74"/>
  <c r="K74"/>
  <c r="J74"/>
  <c r="I74"/>
  <c r="H74"/>
  <c r="M72"/>
  <c r="L72"/>
  <c r="K72"/>
  <c r="J72"/>
  <c r="I72"/>
  <c r="H72"/>
  <c r="M71"/>
  <c r="L71"/>
  <c r="K71"/>
  <c r="J71"/>
  <c r="I71"/>
  <c r="H71"/>
  <c r="M69"/>
  <c r="L69"/>
  <c r="K69"/>
  <c r="J69"/>
  <c r="I69"/>
  <c r="H69"/>
  <c r="M68"/>
  <c r="L68"/>
  <c r="K68"/>
  <c r="J68"/>
  <c r="I68"/>
  <c r="H68"/>
  <c r="M65"/>
  <c r="L65"/>
  <c r="K65"/>
  <c r="J65"/>
  <c r="I65"/>
  <c r="H65"/>
  <c r="M62"/>
  <c r="L62"/>
  <c r="K62"/>
  <c r="J62"/>
  <c r="I62"/>
  <c r="H62"/>
  <c r="M58"/>
  <c r="L58"/>
  <c r="K58"/>
  <c r="J58"/>
  <c r="I58"/>
  <c r="H58"/>
  <c r="M56"/>
  <c r="L56"/>
  <c r="K56"/>
  <c r="J56"/>
  <c r="I56"/>
  <c r="H56"/>
  <c r="M53"/>
  <c r="L53"/>
  <c r="K53"/>
  <c r="J53"/>
  <c r="I53"/>
  <c r="H53"/>
  <c r="M51"/>
  <c r="L51"/>
  <c r="K51"/>
  <c r="J51"/>
  <c r="I51"/>
  <c r="H51"/>
  <c r="M49"/>
  <c r="L49"/>
  <c r="K49"/>
  <c r="J49"/>
  <c r="I49"/>
  <c r="H49"/>
  <c r="M48"/>
  <c r="L48"/>
  <c r="K48"/>
  <c r="J48"/>
  <c r="I48"/>
  <c r="H48"/>
  <c r="M46"/>
  <c r="L46"/>
  <c r="K46"/>
  <c r="J46"/>
  <c r="I46"/>
  <c r="H46"/>
  <c r="M45"/>
  <c r="L45"/>
  <c r="K45"/>
  <c r="J45"/>
  <c r="I45"/>
  <c r="H45"/>
  <c r="M44"/>
  <c r="L44"/>
  <c r="K44"/>
  <c r="J44"/>
  <c r="I44"/>
  <c r="H44"/>
  <c r="M41"/>
  <c r="L41"/>
  <c r="K41"/>
  <c r="J41"/>
  <c r="I41"/>
  <c r="H41"/>
  <c r="M40"/>
  <c r="L40"/>
  <c r="K40"/>
  <c r="J40"/>
  <c r="I40"/>
  <c r="H40"/>
  <c r="M39"/>
  <c r="L39"/>
  <c r="K39"/>
  <c r="J39"/>
  <c r="I39"/>
  <c r="H39"/>
  <c r="M38"/>
  <c r="L38"/>
  <c r="K38"/>
  <c r="J38"/>
  <c r="I38"/>
  <c r="H38"/>
  <c r="M36"/>
  <c r="L36"/>
  <c r="K36"/>
  <c r="J36"/>
  <c r="I36"/>
  <c r="H36"/>
  <c r="M34"/>
  <c r="L34"/>
  <c r="K34"/>
  <c r="J34"/>
  <c r="I34"/>
  <c r="H34"/>
  <c r="M31"/>
  <c r="L31"/>
  <c r="K31"/>
  <c r="J31"/>
  <c r="I31"/>
  <c r="H31"/>
  <c r="M28"/>
  <c r="L28"/>
  <c r="K28"/>
  <c r="J28"/>
  <c r="I28"/>
  <c r="H28"/>
  <c r="M27"/>
  <c r="L27"/>
  <c r="K27"/>
  <c r="J27"/>
  <c r="I27"/>
  <c r="H27"/>
  <c r="M24"/>
  <c r="L24"/>
  <c r="K24"/>
  <c r="J24"/>
  <c r="I24"/>
  <c r="H24"/>
  <c r="M20"/>
  <c r="L20"/>
  <c r="K20"/>
  <c r="J20"/>
  <c r="I20"/>
  <c r="H20"/>
  <c r="M19"/>
  <c r="L19"/>
  <c r="K19"/>
  <c r="J19"/>
  <c r="I19"/>
  <c r="H19"/>
  <c r="M17"/>
  <c r="L17"/>
  <c r="K17"/>
  <c r="J17"/>
  <c r="I17"/>
  <c r="H17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  <c r="M11"/>
  <c r="L11"/>
  <c r="K11"/>
  <c r="J11"/>
  <c r="I11"/>
  <c r="H11"/>
  <c r="M10"/>
  <c r="L10"/>
  <c r="K10"/>
  <c r="J10"/>
  <c r="I10"/>
  <c r="H10"/>
  <c r="M8"/>
  <c r="L8"/>
  <c r="K8"/>
  <c r="J8"/>
  <c r="I8"/>
  <c r="H8"/>
  <c r="M6"/>
  <c r="L6"/>
  <c r="K6"/>
  <c r="J6"/>
  <c r="I6"/>
  <c r="H6"/>
  <c r="N155" l="1"/>
  <c r="N316"/>
  <c r="N322"/>
  <c r="N342"/>
  <c r="N349"/>
  <c r="N11"/>
  <c r="N15"/>
  <c r="N17"/>
  <c r="N20"/>
  <c r="N27"/>
  <c r="N31"/>
  <c r="N39"/>
  <c r="N41"/>
  <c r="N45"/>
  <c r="N51"/>
  <c r="N53"/>
  <c r="N56"/>
  <c r="N62"/>
  <c r="N65"/>
  <c r="N68"/>
  <c r="N71"/>
  <c r="N72"/>
  <c r="N78"/>
  <c r="N80"/>
  <c r="N82"/>
  <c r="N86"/>
  <c r="N88"/>
  <c r="N95"/>
  <c r="N87"/>
  <c r="N90"/>
  <c r="N91"/>
  <c r="N92"/>
  <c r="N94"/>
  <c r="N96"/>
  <c r="N99"/>
  <c r="N100"/>
  <c r="N101"/>
  <c r="N103"/>
  <c r="N104"/>
  <c r="N105"/>
  <c r="N108"/>
  <c r="N110"/>
  <c r="N116"/>
  <c r="N117"/>
  <c r="N123"/>
  <c r="N125"/>
  <c r="N131"/>
  <c r="N132"/>
  <c r="N140"/>
  <c r="N143"/>
  <c r="N147"/>
  <c r="N149"/>
  <c r="N157"/>
  <c r="N159"/>
  <c r="N162"/>
  <c r="N165"/>
  <c r="N167"/>
  <c r="N170"/>
  <c r="N171"/>
  <c r="N174"/>
  <c r="N176"/>
  <c r="N178"/>
  <c r="N179"/>
  <c r="N183"/>
  <c r="N184"/>
  <c r="N185"/>
  <c r="N190"/>
  <c r="N191"/>
  <c r="N194"/>
  <c r="N195"/>
  <c r="N200"/>
  <c r="N201"/>
  <c r="N208"/>
  <c r="K350"/>
  <c r="J350"/>
  <c r="N311"/>
  <c r="N328"/>
  <c r="N332"/>
  <c r="N336"/>
  <c r="I350"/>
  <c r="M350"/>
  <c r="N207"/>
  <c r="N213"/>
  <c r="N214"/>
  <c r="N218"/>
  <c r="N220"/>
  <c r="N225"/>
  <c r="N226"/>
  <c r="N231"/>
  <c r="N233"/>
  <c r="N237"/>
  <c r="N239"/>
  <c r="N242"/>
  <c r="N244"/>
  <c r="N245"/>
  <c r="N246"/>
  <c r="N250"/>
  <c r="N251"/>
  <c r="N252"/>
  <c r="N255"/>
  <c r="N256"/>
  <c r="N259"/>
  <c r="N265"/>
  <c r="N267"/>
  <c r="N268"/>
  <c r="N271"/>
  <c r="N273"/>
  <c r="N274"/>
  <c r="N279"/>
  <c r="N281"/>
  <c r="N284"/>
  <c r="N285"/>
  <c r="N290"/>
  <c r="N293"/>
  <c r="N297"/>
  <c r="N299"/>
  <c r="N304"/>
  <c r="N305"/>
  <c r="N309"/>
  <c r="N310"/>
  <c r="H350"/>
  <c r="L350"/>
  <c r="N8"/>
  <c r="N10"/>
  <c r="N12"/>
  <c r="N13"/>
  <c r="N14"/>
  <c r="N16"/>
  <c r="N19"/>
  <c r="N24"/>
  <c r="N28"/>
  <c r="N34"/>
  <c r="N36"/>
  <c r="N38"/>
  <c r="N40"/>
  <c r="N44"/>
  <c r="N46"/>
  <c r="N49"/>
  <c r="N58"/>
  <c r="N69"/>
  <c r="N76"/>
  <c r="N83"/>
  <c r="N89"/>
  <c r="N93"/>
  <c r="N97"/>
  <c r="N102"/>
  <c r="N106"/>
  <c r="N113"/>
  <c r="N121"/>
  <c r="N127"/>
  <c r="N137"/>
  <c r="N146"/>
  <c r="N154"/>
  <c r="N161"/>
  <c r="N168"/>
  <c r="N175"/>
  <c r="N182"/>
  <c r="N187"/>
  <c r="N193"/>
  <c r="N199"/>
  <c r="N204"/>
  <c r="N212"/>
  <c r="N217"/>
  <c r="N222"/>
  <c r="N229"/>
  <c r="N236"/>
  <c r="N243"/>
  <c r="N247"/>
  <c r="N253"/>
  <c r="N264"/>
  <c r="N270"/>
  <c r="N275"/>
  <c r="N282"/>
  <c r="N286"/>
  <c r="N294"/>
  <c r="N300"/>
  <c r="N306"/>
  <c r="N112"/>
  <c r="N120"/>
  <c r="N126"/>
  <c r="N135"/>
  <c r="N145"/>
  <c r="N153"/>
  <c r="N192"/>
  <c r="N197"/>
  <c r="N203"/>
  <c r="N210"/>
  <c r="N215"/>
  <c r="N221"/>
  <c r="N227"/>
  <c r="N235"/>
  <c r="N278"/>
  <c r="N283"/>
  <c r="N287"/>
  <c r="N295"/>
  <c r="N303"/>
  <c r="N307"/>
  <c r="N312"/>
  <c r="N318"/>
  <c r="N323"/>
  <c r="N329"/>
  <c r="N333"/>
  <c r="N337"/>
  <c r="N344"/>
  <c r="N48"/>
  <c r="N74"/>
  <c r="N313"/>
  <c r="N314"/>
  <c r="N320"/>
  <c r="N321"/>
  <c r="N325"/>
  <c r="N326"/>
  <c r="N330"/>
  <c r="N331"/>
  <c r="N334"/>
  <c r="N335"/>
  <c r="N338"/>
  <c r="N341"/>
  <c r="N345"/>
  <c r="N348"/>
  <c r="N6"/>
  <c r="N350" l="1"/>
</calcChain>
</file>

<file path=xl/sharedStrings.xml><?xml version="1.0" encoding="utf-8"?>
<sst xmlns="http://schemas.openxmlformats.org/spreadsheetml/2006/main" count="927" uniqueCount="850">
  <si>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</si>
  <si>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</si>
  <si>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</si>
  <si>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</si>
  <si>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</si>
  <si>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</si>
  <si>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</si>
  <si>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</si>
  <si>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</si>
  <si>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</si>
  <si>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</si>
  <si>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</si>
  <si>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</si>
  <si>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</si>
  <si>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4.1. МКД с уборкой МОП и Придомовой территории, отплние, ГВС-теплообменник, ХПВ, водоотведение, э.энергия, электроплита. Квартирного типа.</t>
  </si>
  <si>
    <t>Дата изменения:</t>
  </si>
  <si>
    <t>Общая площадь, кв.м:</t>
  </si>
  <si>
    <t>1.1</t>
  </si>
  <si>
    <t>Фундаменты</t>
  </si>
  <si>
    <t>1.1.2</t>
  </si>
  <si>
    <t>Осушение фундаментов</t>
  </si>
  <si>
    <t>1.1.2.3</t>
  </si>
  <si>
    <t>Осушение электрическими насосами</t>
  </si>
  <si>
    <t>100 м3 воды</t>
  </si>
  <si>
    <t>1.1.3</t>
  </si>
  <si>
    <t>Устранение замачивания грунта под фундаментом</t>
  </si>
  <si>
    <t>1.1.3.1</t>
  </si>
  <si>
    <t>Замена поврежденного участка трубопровода диаметром до 100 мм</t>
  </si>
  <si>
    <t>1 участок (6 м)</t>
  </si>
  <si>
    <t>1.1.7</t>
  </si>
  <si>
    <t>Восстановление (ремонт)  освещения и  вентиляции  подвала</t>
  </si>
  <si>
    <t>1.1.7.1</t>
  </si>
  <si>
    <t>Замена неисправных участков электрической сети (скрытая проводка) при числе и сечении жил в проводе  2x1,5 и 2x2,5 кв.м.</t>
  </si>
  <si>
    <t>100 пог.м</t>
  </si>
  <si>
    <t>1.1.7.3</t>
  </si>
  <si>
    <t>Замена ламп накаливания</t>
  </si>
  <si>
    <t>100 шт.</t>
  </si>
  <si>
    <t>1.1.7.4</t>
  </si>
  <si>
    <t>Замена выключателей</t>
  </si>
  <si>
    <t>1.1.7.5</t>
  </si>
  <si>
    <t>Замена патронов</t>
  </si>
  <si>
    <t>1.1.8</t>
  </si>
  <si>
    <t>Восстановление (ремонт)  решеток на  продухах  фундамента</t>
  </si>
  <si>
    <t>100 решеток</t>
  </si>
  <si>
    <t>1.1.9</t>
  </si>
  <si>
    <t>Восстановление (ремонт)  приямков</t>
  </si>
  <si>
    <t>кв.м. приямка</t>
  </si>
  <si>
    <t>1.1.10</t>
  </si>
  <si>
    <t>Восстановление (ремонт) отмостки</t>
  </si>
  <si>
    <t>100 м2 отмостки</t>
  </si>
  <si>
    <t>1.1.12</t>
  </si>
  <si>
    <t>Восстановление (ремонт) вводов инженерных коммуникаций   в подвальные  помещения  через  фундаменты</t>
  </si>
  <si>
    <t>1.1.13</t>
  </si>
  <si>
    <t>Утепление потолка подвала и пола чердака</t>
  </si>
  <si>
    <t>1.1.13.1</t>
  </si>
  <si>
    <t>Утепление потолка подвала при толщине утеплителя 60 мм</t>
  </si>
  <si>
    <t>100 м2 утепляемой поверхности</t>
  </si>
  <si>
    <t>1.1.14</t>
  </si>
  <si>
    <t>Заделка на зиму вентиляционных продухов</t>
  </si>
  <si>
    <t>1 место</t>
  </si>
  <si>
    <t>1.2</t>
  </si>
  <si>
    <t>Кирпичные, каменные и железобетонные стены</t>
  </si>
  <si>
    <t>1.2.9</t>
  </si>
  <si>
    <t>Восстановление (ремонт) разрушений и  повреждений отделочного   слоя</t>
  </si>
  <si>
    <t>1.2.9.4</t>
  </si>
  <si>
    <t>Ремонт обыкновенной штукатурки кирпичных и бетонных фасадов</t>
  </si>
  <si>
    <t>1.2.9.4.2</t>
  </si>
  <si>
    <t>Ремонт обыкновенной штукатурки гладких бетонных  фасадов</t>
  </si>
  <si>
    <t>100 м2 отремонтированной поверхности</t>
  </si>
  <si>
    <t>1.2.11</t>
  </si>
  <si>
    <t>Герметизация, теплоизоляция межпанельных и иных швов</t>
  </si>
  <si>
    <t>1.2.11.1</t>
  </si>
  <si>
    <t>Заделка и герметизация швов и стыков</t>
  </si>
  <si>
    <t>1.2.11.1.1</t>
  </si>
  <si>
    <t>Заделка и герметизация швов и стыков в стенах крупноблочных и крупнопанельных домов</t>
  </si>
  <si>
    <t>на 10 м шва (стыка)</t>
  </si>
  <si>
    <t>1.2.11.1.2</t>
  </si>
  <si>
    <t>Заделка и герметизация швов и стыков в местах примыкания балконных плит к стенам</t>
  </si>
  <si>
    <t>1.2.12</t>
  </si>
  <si>
    <t>Окраска  фасадов</t>
  </si>
  <si>
    <t>1.2.12.1</t>
  </si>
  <si>
    <t>Известковое окрашивание оштукатуренных фасадов</t>
  </si>
  <si>
    <t>1.2.12.1.1</t>
  </si>
  <si>
    <t>Известковое окрашивание оштукатуренных гладких фасадов</t>
  </si>
  <si>
    <t>100 м2 обработанной поверхности</t>
  </si>
  <si>
    <t>1.2.17</t>
  </si>
  <si>
    <t>Окраска стен  помещений  общего  пользования</t>
  </si>
  <si>
    <t>1.2.17.3</t>
  </si>
  <si>
    <t>Масляная окраска ранее окрашенных поверхностей</t>
  </si>
  <si>
    <t>1.2.17.3.1</t>
  </si>
  <si>
    <t>Простая масляная окраска ранее окрашенных поверхностей</t>
  </si>
  <si>
    <t>100 м2 окрашенной поверхности</t>
  </si>
  <si>
    <t>1.2.17.4</t>
  </si>
  <si>
    <t>Окрашивание поверхностей стен водоэмульсионными составами</t>
  </si>
  <si>
    <t>1.2.17.4.1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</si>
  <si>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</si>
  <si>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100 м2 окрашиваемой поверхности</t>
  </si>
  <si>
    <t>1.2.18</t>
  </si>
  <si>
    <t>Внутренняя отделка зданий</t>
  </si>
  <si>
    <t>1.2.18.1</t>
  </si>
  <si>
    <t>Ремонт внутренней штукатурки потолков отдельными местами</t>
  </si>
  <si>
    <t>100 кв. м</t>
  </si>
  <si>
    <t>1.2.18.3</t>
  </si>
  <si>
    <t>Перетирка штукатурки поверхности потолков</t>
  </si>
  <si>
    <t>100 кв.м</t>
  </si>
  <si>
    <t>1.2.18.6</t>
  </si>
  <si>
    <t>Известковая окраска ранее окрашенных поверхностей потолков</t>
  </si>
  <si>
    <t>1.2.19</t>
  </si>
  <si>
    <t>Установка групповых металлических почтовых ящиков на 6 отделений</t>
  </si>
  <si>
    <t>1 ящик</t>
  </si>
  <si>
    <t>1.4</t>
  </si>
  <si>
    <t>Балконы, козырьки, лоджии и эркеры</t>
  </si>
  <si>
    <t>1.4.1</t>
  </si>
  <si>
    <t>Ремонт  несущих  конструкций  балконов,  лоджий,  козырьков и  эркеров</t>
  </si>
  <si>
    <t>1.4.1.1</t>
  </si>
  <si>
    <t>Ремонт плит балконов, лоджий и эркеров</t>
  </si>
  <si>
    <t>куб.м.</t>
  </si>
  <si>
    <t>1.4.1.2</t>
  </si>
  <si>
    <t>Восстановление козырьков</t>
  </si>
  <si>
    <t>кв.м.</t>
  </si>
  <si>
    <t>1.4.2</t>
  </si>
  <si>
    <t>Восстановление организованного отвода воды с балконов, лоджий, козырьков и эркеров</t>
  </si>
  <si>
    <t>100 кв.м. фасадов</t>
  </si>
  <si>
    <t>1.4.3</t>
  </si>
  <si>
    <t>Восстановление (ремонт), модернизация гидроизоляции  балконов, лоджий,   козырьков и  эркеров</t>
  </si>
  <si>
    <t>1.4.3.1</t>
  </si>
  <si>
    <t>Восстановление (ремонт) вручную гидроизоляции балконов, лоджий (при площади балкона до 5 кв.м) вручную</t>
  </si>
  <si>
    <t>100 кв.м.</t>
  </si>
  <si>
    <t>1.4.3.3</t>
  </si>
  <si>
    <t>Ремонт гидроизоляции козырьков</t>
  </si>
  <si>
    <t>1.4.4</t>
  </si>
  <si>
    <t>Восстановление (ремонт) ограждений балконов и  лоджий</t>
  </si>
  <si>
    <t>1.4.4.1</t>
  </si>
  <si>
    <t>Восстановление ограждающих решеток</t>
  </si>
  <si>
    <t>1 м. решетки</t>
  </si>
  <si>
    <t>1.4.5</t>
  </si>
  <si>
    <t>Окраска ограждений балконов и лоджий, конструкций балконов,  лоджий,   козырьков и  эркеров</t>
  </si>
  <si>
    <t>1.4.5.1</t>
  </si>
  <si>
    <t>Окраска металлических элементов и ограждений балконов, лоджий  и эркеров за один раз с люлек</t>
  </si>
  <si>
    <t>1.6</t>
  </si>
  <si>
    <t>Полы</t>
  </si>
  <si>
    <t>1.6.1</t>
  </si>
  <si>
    <t>Устранение  повреждений  полов в  местах  общего  пользования  многоквартирного дома</t>
  </si>
  <si>
    <t>1.6.1.1</t>
  </si>
  <si>
    <t>Заделка выбоин в цементных полах</t>
  </si>
  <si>
    <t>1.6.4</t>
  </si>
  <si>
    <t>Ремонт полов</t>
  </si>
  <si>
    <t>1.6.4.5</t>
  </si>
  <si>
    <t>Ремонт поверхности цементных полов</t>
  </si>
  <si>
    <t>1.8</t>
  </si>
  <si>
    <t>Крыши и кровли</t>
  </si>
  <si>
    <t>1.8.1</t>
  </si>
  <si>
    <t>Устранение протечек кровли</t>
  </si>
  <si>
    <t>1.8.1.3</t>
  </si>
  <si>
    <t>Устранение  протечек рулонной кровли</t>
  </si>
  <si>
    <t>1.8.1.3.1</t>
  </si>
  <si>
    <t>Постановка заплат на покрытия из мягкой кровли</t>
  </si>
  <si>
    <t>100 м2 покрытий</t>
  </si>
  <si>
    <t>1.8.2</t>
  </si>
  <si>
    <t>Ремонт, модернизация кровли и крыши</t>
  </si>
  <si>
    <t>1.8.2.2</t>
  </si>
  <si>
    <t>Ремонт, модернизация рулонной кровли</t>
  </si>
  <si>
    <t>1.8.2.2.1</t>
  </si>
  <si>
    <t>Смена мягкой кровли в два слоя отдельными местами</t>
  </si>
  <si>
    <t>100 м2 сменяемого покрытия</t>
  </si>
  <si>
    <t>1.8.3</t>
  </si>
  <si>
    <t>Восстановление (ремонт) вентиляционных устройств (оборудования)</t>
  </si>
  <si>
    <t>1.8.3.1</t>
  </si>
  <si>
    <t>Смена колпаков вентиляционных труб</t>
  </si>
  <si>
    <t>1.8.3.1.1</t>
  </si>
  <si>
    <t>Смена колпаков вентиляционных труб (при одном канале в трубе)</t>
  </si>
  <si>
    <t>100 колпаков</t>
  </si>
  <si>
    <t>1.8.3.1.2</t>
  </si>
  <si>
    <t>Смена колпаков вентиляционных труб (на каждый доп. 1 канал)</t>
  </si>
  <si>
    <t>на каждый доп. 1 канал на 100 колпаков</t>
  </si>
  <si>
    <t>1.8.7</t>
  </si>
  <si>
    <t>Восстановление (ремонт) дымовых и  вентиляционных труб</t>
  </si>
  <si>
    <t>1.8.7.3</t>
  </si>
  <si>
    <t>Прочистка засоренных вентиляционных каналов</t>
  </si>
  <si>
    <t>10 м канала</t>
  </si>
  <si>
    <t>1.8.7.6</t>
  </si>
  <si>
    <t>Оштукатуривание поверхности дымовых труб</t>
  </si>
  <si>
    <t xml:space="preserve">100 м2 поверхности </t>
  </si>
  <si>
    <t>1.8.9</t>
  </si>
  <si>
    <t>Восстановление (ремонт) выходов на крышу</t>
  </si>
  <si>
    <t>1.8.9.1</t>
  </si>
  <si>
    <t>Окраска масляными составами ранее окрашенных металлических лестниц и дверей на крышу за 1 раз</t>
  </si>
  <si>
    <t>1.8.10</t>
  </si>
  <si>
    <t>Восстановление (ремонт) парапетов, архитектурных деталей и т.д.</t>
  </si>
  <si>
    <t>1.8.10.1</t>
  </si>
  <si>
    <t>Смена покрытия  парапетов или брандмауэров без обделки боковых сторон при ширине покрытия до 1 м</t>
  </si>
  <si>
    <t>100 м</t>
  </si>
  <si>
    <t>1.8.11</t>
  </si>
  <si>
    <t>Восстановление (ремонт) систем водоотвода</t>
  </si>
  <si>
    <t>1.8.11.4</t>
  </si>
  <si>
    <t>Смена воронок</t>
  </si>
  <si>
    <t>1.8.12</t>
  </si>
  <si>
    <t>Ремонт примыканий и заделка стыков</t>
  </si>
  <si>
    <t>1.8.12.3</t>
  </si>
  <si>
    <t>Смена обделок примыканий из листовой стали к  дымовым трубам</t>
  </si>
  <si>
    <t>100 труб</t>
  </si>
  <si>
    <t>1.8.13</t>
  </si>
  <si>
    <t>Ремонт, утепление дверей с лестничных площадок на чердак</t>
  </si>
  <si>
    <t>1.8.13.2</t>
  </si>
  <si>
    <t>Восстановление тепловой изоляции дверей</t>
  </si>
  <si>
    <t>100 дверей</t>
  </si>
  <si>
    <t>1.8.13.3</t>
  </si>
  <si>
    <t>Замена обивки дверей стальным листом</t>
  </si>
  <si>
    <t>100  м2 двери</t>
  </si>
  <si>
    <t>1.9</t>
  </si>
  <si>
    <t>Оконные и дверные проемы</t>
  </si>
  <si>
    <t>1.9.1</t>
  </si>
  <si>
    <t>Восстановление (ремонт) дверей в помещениях  общего  пользования</t>
  </si>
  <si>
    <t>1.9.1.1</t>
  </si>
  <si>
    <t>Ремонт дверных полотен со сменой горизонтальных брусков обвязки на два сопряжения</t>
  </si>
  <si>
    <t>100 брусков</t>
  </si>
  <si>
    <t>1.9.1.2</t>
  </si>
  <si>
    <t>Ремонт дверных полотен со сменой вертикальных брусков обвязки на два сопряжения</t>
  </si>
  <si>
    <t>1.9.1.4</t>
  </si>
  <si>
    <t>Ремонт дверных коробок в узких каменных стенах</t>
  </si>
  <si>
    <t>10 коробок</t>
  </si>
  <si>
    <t>1.9.1.8</t>
  </si>
  <si>
    <t>Ремонт порогов шириной 100 мм</t>
  </si>
  <si>
    <t>100 отремонтированных мест</t>
  </si>
  <si>
    <t>1.9.1.10</t>
  </si>
  <si>
    <t>Смена дверных петель при одной сменяемой петле в полотне</t>
  </si>
  <si>
    <t>10 петель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</si>
  <si>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</si>
  <si>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</si>
  <si>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</si>
  <si>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</si>
  <si>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</si>
  <si>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</si>
  <si>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1.9.1.19</t>
  </si>
  <si>
    <t>Смена замков накладных</t>
  </si>
  <si>
    <t>100 замков</t>
  </si>
  <si>
    <t>1.9.1.22</t>
  </si>
  <si>
    <t>Простая масляная окраска дверей</t>
  </si>
  <si>
    <t>1.9.1.24</t>
  </si>
  <si>
    <t>Установка дверного доводчика к металлическим дверям</t>
  </si>
  <si>
    <t>1 доводчик</t>
  </si>
  <si>
    <t>1.9.1.25</t>
  </si>
  <si>
    <t>Установка дверного доводчика к дверям из древесины</t>
  </si>
  <si>
    <t>1 прибор</t>
  </si>
  <si>
    <t>1.9.1.26</t>
  </si>
  <si>
    <t>Установка дверей и заслонок в проемах подвальных и чердачных помещений</t>
  </si>
  <si>
    <t>1 полотно</t>
  </si>
  <si>
    <t>1.9.2</t>
  </si>
  <si>
    <t>Восстановление (ремонт)  окон в  помещениях общего  пользования</t>
  </si>
  <si>
    <t>1.9.2.8</t>
  </si>
  <si>
    <t>Ремонт форточек</t>
  </si>
  <si>
    <t>10 форточек</t>
  </si>
  <si>
    <t>1.9.2.9</t>
  </si>
  <si>
    <t>Ремонт подоконных досок</t>
  </si>
  <si>
    <t>1 м подоконной доски</t>
  </si>
  <si>
    <t>1.9.2.10</t>
  </si>
  <si>
    <t>Смена оконных петель при одной сменяемой петле в створке</t>
  </si>
  <si>
    <t>1.9.2.23</t>
  </si>
  <si>
    <t>Смена ручки оконной</t>
  </si>
  <si>
    <t>100 ручек</t>
  </si>
  <si>
    <t>1.9.2.25</t>
  </si>
  <si>
    <t>Простая масляная окраска оконных рам</t>
  </si>
  <si>
    <t>1.9.2.30</t>
  </si>
  <si>
    <t>Замена негодных деревянных жалюзей слуховых окон с изготовлением их</t>
  </si>
  <si>
    <t>1 штука</t>
  </si>
  <si>
    <t>1.9.2.31</t>
  </si>
  <si>
    <t>Малый ремонт слухового окна с исправлением обшивки и переплета</t>
  </si>
  <si>
    <t>1.9.2.33</t>
  </si>
  <si>
    <t>Остекление оконным стеклом окон в два переплета открывающихся в одну сторону</t>
  </si>
  <si>
    <t>100 м2 площади проемов по наружному обводу коробок</t>
  </si>
  <si>
    <t>1.9.3</t>
  </si>
  <si>
    <t>Замена  дверей в помещениях  общего  пользования</t>
  </si>
  <si>
    <t>1.9.3.1</t>
  </si>
  <si>
    <t>Замена одностворных дверей на врезных шпонках</t>
  </si>
  <si>
    <t>1.9.4</t>
  </si>
  <si>
    <t>Замена окон в помещениях общего пользования</t>
  </si>
  <si>
    <t>1.9.4.1</t>
  </si>
  <si>
    <t>Смена створок оконных переплетов узких одинарных коробок</t>
  </si>
  <si>
    <t>1 створка</t>
  </si>
  <si>
    <t>1.9.6</t>
  </si>
  <si>
    <t>Восстановление (ремонт) дверных и оконных откосов</t>
  </si>
  <si>
    <t>1.9.6.2</t>
  </si>
  <si>
    <t>Восстановление (ремонт) штукатурки откосов каменных, блочных и крупнопанельных домов внутри здания</t>
  </si>
  <si>
    <t>100 кв.м. откосов</t>
  </si>
  <si>
    <t>1.9.6.5</t>
  </si>
  <si>
    <t>Восстановление (ремонт) штукатурки наружных откосов каменных, блочных и крупнопанельных домов</t>
  </si>
  <si>
    <t>1.10</t>
  </si>
  <si>
    <t>Лестницы</t>
  </si>
  <si>
    <t>1.10.3</t>
  </si>
  <si>
    <t>Ремонт  ограждений,  поручней и  предохранительных  сеток</t>
  </si>
  <si>
    <t>1.10.3.1</t>
  </si>
  <si>
    <t>Ремонт металлических лестничных решеток</t>
  </si>
  <si>
    <t>100 м решетки</t>
  </si>
  <si>
    <t>1.10.3.2</t>
  </si>
  <si>
    <t>Укрепление стоек металлических решеток ограждения  лестниц и площадок</t>
  </si>
  <si>
    <t>100 укрепляемых  стоек</t>
  </si>
  <si>
    <t>1.10.4</t>
  </si>
  <si>
    <t>Ремонт,  замена  перил</t>
  </si>
  <si>
    <t>1.10.4.1</t>
  </si>
  <si>
    <t>Смена отдельных частей поручней</t>
  </si>
  <si>
    <t>1.10.4.1.1</t>
  </si>
  <si>
    <t>Смена прямых  частей поручней</t>
  </si>
  <si>
    <t>1.10.4.2</t>
  </si>
  <si>
    <t>Изготовление прямых частей  поручня</t>
  </si>
  <si>
    <t>1.10.5</t>
  </si>
  <si>
    <t>Окраска  металлических  элементов  лестниц</t>
  </si>
  <si>
    <t>1.10.5.1</t>
  </si>
  <si>
    <t>Окраска масляными составами ранее окрашенных металлических решеток  без рельефа за 1 раз</t>
  </si>
  <si>
    <t xml:space="preserve"> 100 м2 окрашиваемой поверхности</t>
  </si>
  <si>
    <t>1.10.7</t>
  </si>
  <si>
    <t>Прочие работы по ремонту лестниц</t>
  </si>
  <si>
    <t>1.10.7.1</t>
  </si>
  <si>
    <t>Окрашивание масляными составами торцов лестничных маршей и площадок</t>
  </si>
  <si>
    <t>1.10.7.2</t>
  </si>
  <si>
    <t>Окрашивание масляными составами деревянных поручней</t>
  </si>
  <si>
    <t>100  м поручня</t>
  </si>
  <si>
    <t>1.10.7.3</t>
  </si>
  <si>
    <t>Заделка выбоин в каменных ступенях</t>
  </si>
  <si>
    <t>100 м2 заделанной поверхности</t>
  </si>
  <si>
    <t>2.1</t>
  </si>
  <si>
    <t>Система теплоснабжения</t>
  </si>
  <si>
    <t>2.1.2</t>
  </si>
  <si>
    <t>Ремонт,  модернизация внутридомовых отопительных сетей</t>
  </si>
  <si>
    <t>2.1.2.2</t>
  </si>
  <si>
    <t>Смена отдельных участков трубопроводов из стальных электросварных труб</t>
  </si>
  <si>
    <t>2.1.2.2.1</t>
  </si>
  <si>
    <t>Смена отдельных участков трубопроводов из стальных электросварных труб  диаметром 40 мм</t>
  </si>
  <si>
    <t>100 м трубопровода</t>
  </si>
  <si>
    <t>2.1.2.2.2</t>
  </si>
  <si>
    <t>Смена отдельных участков трубопроводов из стальных электросварных труб   диаметром 50 мм</t>
  </si>
  <si>
    <t>2.1.3</t>
  </si>
  <si>
    <t>Ремонт,  промывка  отопительных  элементов</t>
  </si>
  <si>
    <t>2.1.3.1</t>
  </si>
  <si>
    <t>Смена радиаторных блоков</t>
  </si>
  <si>
    <t>2.1.3.1.2</t>
  </si>
  <si>
    <t>Смена радиаторных блоков, вес радиаторного блока до 80 кг</t>
  </si>
  <si>
    <t>100 радиаторных блоков</t>
  </si>
  <si>
    <t>2.1.3.5</t>
  </si>
  <si>
    <t>Прочистка и промывка отопительных приборов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</si>
  <si>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</si>
  <si>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</si>
  <si>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</si>
  <si>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2.1.5</t>
  </si>
  <si>
    <t>Восстановление теплоизоляции  систем  теплоснабжения</t>
  </si>
  <si>
    <t>2.1.5.3</t>
  </si>
  <si>
    <t>Восстановление разрушенной тепловой изоляции</t>
  </si>
  <si>
    <t>2.1.5.3.3</t>
  </si>
  <si>
    <t>Восстановление разрушенной тепловой изоляции минераловатными матами</t>
  </si>
  <si>
    <t>100 м2 восстановленного участка</t>
  </si>
  <si>
    <t>2.1.8</t>
  </si>
  <si>
    <t>Ремонт  насосов,  магистральной запорной арматуры,  автоматических устройств</t>
  </si>
  <si>
    <t>2.1.8.4</t>
  </si>
  <si>
    <t>Смена параллельной задвижки</t>
  </si>
  <si>
    <t>2.1.8.4.1</t>
  </si>
  <si>
    <t>Смена параллельной задвижки,  диаметром до 100 мм</t>
  </si>
  <si>
    <t>100 задвижек</t>
  </si>
  <si>
    <t>2.1.8.8</t>
  </si>
  <si>
    <t>Смена вентиля</t>
  </si>
  <si>
    <t>2.1.8.8.1</t>
  </si>
  <si>
    <t>Смена вентиля диаметром до 25 мм</t>
  </si>
  <si>
    <t>100 вентилей</t>
  </si>
  <si>
    <t>2.1.8.8.2</t>
  </si>
  <si>
    <t>Смена вентиля диаметром 25 мм</t>
  </si>
  <si>
    <t>2.1.8.8.3</t>
  </si>
  <si>
    <t>Смена вентиля диаметром свыше 26 до 50  мм</t>
  </si>
  <si>
    <t>2.1.8.9</t>
  </si>
  <si>
    <t>Установка кранов для спуска воздуха из системы</t>
  </si>
  <si>
    <t>2.1.8.9.1</t>
  </si>
  <si>
    <t>Установка кранов для спуска воздуха из системы, диаметр крана 15-20 мм</t>
  </si>
  <si>
    <t>100 кранов</t>
  </si>
  <si>
    <t>2.2</t>
  </si>
  <si>
    <t>Системы холодного и горячего водоснабжения</t>
  </si>
  <si>
    <t>2.2.1</t>
  </si>
  <si>
    <t>Ремонт,  замена  внутридомовых сетей водоснабжения</t>
  </si>
  <si>
    <t>2.2.1.1</t>
  </si>
  <si>
    <t>Смена отдельных участков трубопроводов  горячего водоснабжения из стальных водогазопроводных оцинкованных труб при соединении труб на резьбе</t>
  </si>
  <si>
    <t>2.2.1.1.2</t>
  </si>
  <si>
    <t>Смена отдельных участков трубопроводов   водоснабжения из стальных водогазопроводных оцинкованных труб диаметром  20 мм</t>
  </si>
  <si>
    <t>100 м трубопроводов</t>
  </si>
  <si>
    <t>2.2.1.1.4</t>
  </si>
  <si>
    <t>Смена отдельных участков трубопроводов водоснабжения из стальных водогазопроводных оцинкованных труб диаметром 32 мм</t>
  </si>
  <si>
    <t>2.2.1.1.6</t>
  </si>
  <si>
    <t>Смена отдельных участков трубопроводов  водоснабжения из стальных водогазопроводных оцинкованных труб диаметром 50 мм</t>
  </si>
  <si>
    <t>2.2.1.6</t>
  </si>
  <si>
    <t>Временная заделка свищей и трещин на внутренних трубопроводах и стояках</t>
  </si>
  <si>
    <t>2.2.1.6.1</t>
  </si>
  <si>
    <t>Временная заделка свищей и трещин на внутренних трубопроводах и стояках при диаметре трубопровода до 50 мм</t>
  </si>
  <si>
    <t>100 мест</t>
  </si>
  <si>
    <t>2.2.1.7</t>
  </si>
  <si>
    <t>Смена сгонов у трубопроводов</t>
  </si>
  <si>
    <t>2.2.1.7.1</t>
  </si>
  <si>
    <t>Смена сгонов у трубопроводов диаметром до 20 мм</t>
  </si>
  <si>
    <t>100 сгонов</t>
  </si>
  <si>
    <t>2.2.1.8</t>
  </si>
  <si>
    <t>Уплотнение сгонов</t>
  </si>
  <si>
    <t>2.2.1.8.1</t>
  </si>
  <si>
    <t>Уплотнение сгонов с применением льняной пряди или асбестового шнура (без разборки сгонов) диаметром до 20 мм</t>
  </si>
  <si>
    <t>1 сгон</t>
  </si>
  <si>
    <t>2.2.4</t>
  </si>
  <si>
    <t>Теплоизоляция сетей  горячего  водоснабжения</t>
  </si>
  <si>
    <t>100 м2 утепленного участка</t>
  </si>
  <si>
    <t>2.2.5</t>
  </si>
  <si>
    <t>Окраска  сетей и  устройств  горячего  водоснабжения</t>
  </si>
  <si>
    <t>2.2.5.1</t>
  </si>
  <si>
    <t>Окраска масляными составами ранее окрашенных поверхностей стальных труб</t>
  </si>
  <si>
    <t>2.2.5.1.1</t>
  </si>
  <si>
    <t>Окраска масляными составами ранее окрашенных поверхностей  стальных труб горячего водоснабжения за 1 раз</t>
  </si>
  <si>
    <t>2.2.5.2</t>
  </si>
  <si>
    <t>Окраска масляными составами  устройств горячего водоснабжения</t>
  </si>
  <si>
    <t>2.2.5.2.1</t>
  </si>
  <si>
    <t>Очистка поверхности от загрязнений</t>
  </si>
  <si>
    <t>2.2.5.2.2</t>
  </si>
  <si>
    <t>Окраска масляными составами  устройств горячего водоснабжения за 1 раз</t>
  </si>
  <si>
    <t>2.2.6</t>
  </si>
  <si>
    <t>Ремонт оборудования, приборов и арматуры водопроводной сети общего пользования</t>
  </si>
  <si>
    <t>2.2.6.1</t>
  </si>
  <si>
    <t>Смена вентилей и клапанов обратных муфтовых диаметром до 20 мм</t>
  </si>
  <si>
    <t>2.2.6.2</t>
  </si>
  <si>
    <t>Смена вентилей и клапанов обратных муфтовых диаметром до 32  мм</t>
  </si>
  <si>
    <t>2.3</t>
  </si>
  <si>
    <t>Система водоотведения</t>
  </si>
  <si>
    <t>2.3.1</t>
  </si>
  <si>
    <t>Смена отдельных участков трубопроводов канализации из полиэтиленовых труб высокой плотности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</si>
  <si>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</si>
  <si>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</si>
  <si>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2.3.1.3</t>
  </si>
  <si>
    <t>Смена вертикальных участков трубопроводов канализации из полиэтиленовых труб высокой плотности диаметром 50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</si>
  <si>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</si>
  <si>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</si>
  <si>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2.3.2</t>
  </si>
  <si>
    <t>Смена отдельных участков внутренних чугунных канализационных труб и выпусков</t>
  </si>
  <si>
    <t>2.3.2.1</t>
  </si>
  <si>
    <t>Смена отдельных участков  чугунных труб и внутренних чугунных канализационных выпусков при диаметре канализационного выпуска 50 мм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</si>
  <si>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</si>
  <si>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</si>
  <si>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2.3.3</t>
  </si>
  <si>
    <t>Подчеканка раструбов канализационных труб</t>
  </si>
  <si>
    <t>2.3.3.3</t>
  </si>
  <si>
    <t>Подчеканка раструбов чугунных канализационных труб</t>
  </si>
  <si>
    <t>2.3.3.3.1</t>
  </si>
  <si>
    <t>Подчеканка раструбов чугунных  канализационных труб диаметром до 50 мм</t>
  </si>
  <si>
    <t>100  раструбов</t>
  </si>
  <si>
    <t>2.3.3.3.3</t>
  </si>
  <si>
    <t>Подчеканка раструбов  чугунных  канализационных труб диаметром до 100 мм</t>
  </si>
  <si>
    <t>2.3.4</t>
  </si>
  <si>
    <t>Устранение засоров внутренних канализационных трубопроводов</t>
  </si>
  <si>
    <t>100 м трубы</t>
  </si>
  <si>
    <t>2.3.5</t>
  </si>
  <si>
    <t>Заделка стыков соединений стояков внутренних водостоков</t>
  </si>
  <si>
    <t>100 соединений</t>
  </si>
  <si>
    <t>2.3.10</t>
  </si>
  <si>
    <t>Прокладка внутренних трубопроводов канализации из полипропиленовых труб</t>
  </si>
  <si>
    <t>2.3.10.2</t>
  </si>
  <si>
    <t>Прокладка внутренних трубопроводов канализации из полипропиленовых труб диаметром 110 мм</t>
  </si>
  <si>
    <t>2.5</t>
  </si>
  <si>
    <t>Внутридомовое электро-, радио- и телеоборудование</t>
  </si>
  <si>
    <t>2.5.1</t>
  </si>
  <si>
    <t>Ремонт,  замена  шкафов  вводных и  вводно-распределительных устройств</t>
  </si>
  <si>
    <t>2.5.1.1</t>
  </si>
  <si>
    <t>Замена пакетных переключателей вводно-распределительных устройств и шкафов</t>
  </si>
  <si>
    <t>1 переключатель</t>
  </si>
  <si>
    <t>2.5.1.2</t>
  </si>
  <si>
    <t>Замена автоматического выключателя</t>
  </si>
  <si>
    <t>1 автоматический выключатель</t>
  </si>
  <si>
    <t>2.5.1.4</t>
  </si>
  <si>
    <t>Замена предохранителя</t>
  </si>
  <si>
    <t>1 предохранитель</t>
  </si>
  <si>
    <t>2.5.1.5</t>
  </si>
  <si>
    <t>Замена рубильника</t>
  </si>
  <si>
    <t>1 рубильник</t>
  </si>
  <si>
    <t>2.5.1.11</t>
  </si>
  <si>
    <t>Замена шкафов и ВРУ</t>
  </si>
  <si>
    <t>1 шкаф</t>
  </si>
  <si>
    <t>2.5.4</t>
  </si>
  <si>
    <t>Ремонт, замена  внутридомовых электрических сетей</t>
  </si>
  <si>
    <t>1000 пог.м.</t>
  </si>
  <si>
    <t>2.5.5</t>
  </si>
  <si>
    <t>Ремонт, замена этажных  щитков и  шкафов</t>
  </si>
  <si>
    <t>2.5.5.2</t>
  </si>
  <si>
    <t>Ремонт щитков</t>
  </si>
  <si>
    <t>1 щит</t>
  </si>
  <si>
    <t>2.5.6</t>
  </si>
  <si>
    <t>Ремонт,  замена  приборов  учета и регулирования общего   пользования</t>
  </si>
  <si>
    <t>2.5.6.1</t>
  </si>
  <si>
    <t>Замена трехфазного счетчика (прибора учета) электрической энергии прямого включения</t>
  </si>
  <si>
    <t xml:space="preserve">1 прибор учета </t>
  </si>
  <si>
    <t>2.5.6.3</t>
  </si>
  <si>
    <t>Установка или снятие трехфазного счетчика (прибора учета) электроэнергии прямого включения</t>
  </si>
  <si>
    <t>1 счетчик</t>
  </si>
  <si>
    <t>2.5.6.9</t>
  </si>
  <si>
    <t>Обслуживание трехфазных счетчиков электроэнергии</t>
  </si>
  <si>
    <t>100 счетчиков</t>
  </si>
  <si>
    <t>2.5.7</t>
  </si>
  <si>
    <t>Ремонт,  замена  осветительных установок  помещений   общего  пользования</t>
  </si>
  <si>
    <t>2.5.7.6</t>
  </si>
  <si>
    <t>Замена лампы накаливания на энергосберегательную</t>
  </si>
  <si>
    <t>1 лампа</t>
  </si>
  <si>
    <t>2.5.7.8</t>
  </si>
  <si>
    <t>Замена светильника на светильник светодиодный с датчиком движения</t>
  </si>
  <si>
    <t>1 светильник</t>
  </si>
  <si>
    <t>2.6</t>
  </si>
  <si>
    <t>Подготовка многоквартирного дома к сезонной эксплуатации, проведение технических осмотров</t>
  </si>
  <si>
    <t>2.6.3</t>
  </si>
  <si>
    <t>Замена разбитых стекол окон и дверей в помещениях общего пользования</t>
  </si>
  <si>
    <t>2.6.3.5</t>
  </si>
  <si>
    <t>Смена стекол на штапиках без замазки</t>
  </si>
  <si>
    <t>100 м фальца</t>
  </si>
  <si>
    <t>2.6.5</t>
  </si>
  <si>
    <t>Утепление и прочистка дымовентиляционных каналов</t>
  </si>
  <si>
    <t>1000 кв.м. общей площади</t>
  </si>
  <si>
    <t>2.6.6</t>
  </si>
  <si>
    <t>Проверка состояния и ремонт продухов в цоколях зданий</t>
  </si>
  <si>
    <t>2.6.6.1</t>
  </si>
  <si>
    <t>Оштукатуривание продухов</t>
  </si>
  <si>
    <t xml:space="preserve">  1 м2 ремонтируемой поверхности</t>
  </si>
  <si>
    <t>2.6.11</t>
  </si>
  <si>
    <t>Проведение технических осмотров и устранение незначительных неисправностей в  системах водоснабжения и  водоотведения</t>
  </si>
  <si>
    <t>2.6.11.1</t>
  </si>
  <si>
    <t>Осмотр водопровода, канализации и горячего водоснабжения</t>
  </si>
  <si>
    <t>100 квартир</t>
  </si>
  <si>
    <t>2.6.11.2</t>
  </si>
  <si>
    <t>Промывка участка водопровода</t>
  </si>
  <si>
    <t>100 куб.м. здания</t>
  </si>
  <si>
    <t>2.6.11.3</t>
  </si>
  <si>
    <t>Прочистка канализационного лежака</t>
  </si>
  <si>
    <t>100 м канализационного лежака</t>
  </si>
  <si>
    <t>2.6.11.4</t>
  </si>
  <si>
    <t>Проверка исправности  канализационных  вытяжек</t>
  </si>
  <si>
    <t>2.6.12</t>
  </si>
  <si>
    <t>Проведение технических осмотров и устранение незначительных неисправностей в  системах вентиляции</t>
  </si>
  <si>
    <t>2.6.12.1</t>
  </si>
  <si>
    <t>Проверка наличия тяги в  дымовентиляционных каналах</t>
  </si>
  <si>
    <t>2.6.12.2</t>
  </si>
  <si>
    <t>Проведение технических осмотров и устранение незначительных неисправностей в системе вентиляции</t>
  </si>
  <si>
    <t>2.6.13</t>
  </si>
  <si>
    <t>Проведение технических осмотров и устранение незначительных неисправностей в   электротехнических устройствах</t>
  </si>
  <si>
    <t>2.6.13.1</t>
  </si>
  <si>
    <t>Осмотр  электросети, арматуры, электрооборудования на лестничных клетках</t>
  </si>
  <si>
    <t>100 лестничных площадок</t>
  </si>
  <si>
    <t>2.6.13.3</t>
  </si>
  <si>
    <t>Проверка изоляции электропроводки и ее укрепление</t>
  </si>
  <si>
    <t>2.6.13.5</t>
  </si>
  <si>
    <t>Замеры сопротивления изоляции проводов</t>
  </si>
  <si>
    <t xml:space="preserve">измерение 1         </t>
  </si>
  <si>
    <t>2.6.14</t>
  </si>
  <si>
    <t>Проведение технических осмотров и устранение незначительных неисправностей в  системе   теплоснабжения</t>
  </si>
  <si>
    <t>2.6.14.1</t>
  </si>
  <si>
    <t>Осмотр системы центрального отопления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</si>
  <si>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</si>
  <si>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</si>
  <si>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</si>
  <si>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</si>
  <si>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</si>
  <si>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</si>
  <si>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</si>
  <si>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</si>
  <si>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</t>
  </si>
  <si>
    <t>Гидравлическое испытание трубопроводов систем центрального отопления (расконсервация)</t>
  </si>
  <si>
    <t>2.6.14.3.2</t>
  </si>
  <si>
    <t>Рабочая проверка системы в целом при диаметре трубопровода до 50 мм</t>
  </si>
  <si>
    <t>2.6.14.4</t>
  </si>
  <si>
    <t>Промывка трубопроводов системы центрального отопления</t>
  </si>
  <si>
    <t>2.6.14.4.1</t>
  </si>
  <si>
    <t>Промывка трубопроводов системы центрального отопления до 50 мм</t>
  </si>
  <si>
    <t>10 м трубопровода (100 м3 здания)</t>
  </si>
  <si>
    <t>2.6.14.5</t>
  </si>
  <si>
    <t>Устранение незначительных неисправностей в  системе   теплоснабжения</t>
  </si>
  <si>
    <t>2.6.14.5.3</t>
  </si>
  <si>
    <t>Вывертывание и ввертывание радиаторной пробки</t>
  </si>
  <si>
    <t>100 пробок</t>
  </si>
  <si>
    <t>2.6.14.5.5</t>
  </si>
  <si>
    <t>Ликвидация воздушных пробок в системе отопления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</si>
  <si>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</si>
  <si>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</si>
  <si>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</si>
  <si>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</si>
  <si>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</si>
  <si>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2.6.14.5.6</t>
  </si>
  <si>
    <t>Ремонт кранов регулировки у радиаторных блоков</t>
  </si>
  <si>
    <t>2.6.14.5.7</t>
  </si>
  <si>
    <t>Мелкий ремонт изоляции</t>
  </si>
  <si>
    <t>2.6.14.5.7.1</t>
  </si>
  <si>
    <t>Мелкий ремонт изоляции трубопроводов при диаметре 50 мм</t>
  </si>
  <si>
    <t>2.6.15</t>
  </si>
  <si>
    <t>Проверка и ремонт коллективных приборов  учета</t>
  </si>
  <si>
    <t>2.6.15.1</t>
  </si>
  <si>
    <t>Проверка и обслуживание приборов учета воды диаметром 25-40 мм</t>
  </si>
  <si>
    <t>2.6.15.1.1</t>
  </si>
  <si>
    <t>Визуальный осмотр узла учета и проверка наличия и нарушения пломб (прибор учета воды диаметром 25-40 мм)</t>
  </si>
  <si>
    <t>1 прибор учета</t>
  </si>
  <si>
    <t>2.6.15.1.2</t>
  </si>
  <si>
    <t>Снятие и запись показаний с вычислителя в журнал (прибор учета воды диаметром 25-40 мм)</t>
  </si>
  <si>
    <t>2.6.15.1.4</t>
  </si>
  <si>
    <t>Проверка работоспособности запорной арматуры и очистка фильтров (приборов учета воды диаметром 25-40 мм)</t>
  </si>
  <si>
    <t>1 фильтр</t>
  </si>
  <si>
    <t>2.6.15.1.6</t>
  </si>
  <si>
    <t>Запуск воды с общего вентиля к счетчику (приборов учета воды диаметром 25-40 мм)</t>
  </si>
  <si>
    <t>2.6.15.1.7</t>
  </si>
  <si>
    <t>При отказе или неисправной работе прибора учета воды диаметром 25-40 мм - поиск неисправностей</t>
  </si>
  <si>
    <t>2.6.15.1.8</t>
  </si>
  <si>
    <t>Проверка работоспособности водозапорной арматуры приборов учета воды диаметром 25-40 мм</t>
  </si>
  <si>
    <t>2.6.15.4</t>
  </si>
  <si>
    <t>Проверка и обслуживание коллективных узлов учета тепловой энергии диаметром 50-250 мм</t>
  </si>
  <si>
    <t>2.6.15.4.8</t>
  </si>
  <si>
    <t>Выборочная метрологическая поверка теплосчетчиков</t>
  </si>
  <si>
    <t>2.6.15.4.8.1</t>
  </si>
  <si>
    <t>Проверка работоспособности водозапорной арматуры (выборочная метрологическая поверка теплосчетчиков диаметром 50-250 мм)</t>
  </si>
  <si>
    <t>1 узел учета</t>
  </si>
  <si>
    <t>2.6.15.4.8.3</t>
  </si>
  <si>
    <t>Поверка (настройка) тепловычислителя (выборочная метрологическая поверка теплосчетчиков диаметром 50-250 мм)</t>
  </si>
  <si>
    <t>2.6.15.4.8.4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</si>
  <si>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50-250 мм)</t>
  </si>
  <si>
    <t>2.6.15.4.8.5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</si>
  <si>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</si>
  <si>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2.6.15.5</t>
  </si>
  <si>
    <t>Установка и снятие (монтаж, демонтаж) прибора учета тепловой энергии</t>
  </si>
  <si>
    <t>2.6.15.5.1</t>
  </si>
  <si>
    <t>Снятие (демонтаж) прибора учета тепловой энергии, диаметром до 50 мм</t>
  </si>
  <si>
    <t>2.6.15.5.2</t>
  </si>
  <si>
    <t>Установка (монтаж) прибора учета тепловой энергии, диаметром до 50 мм</t>
  </si>
  <si>
    <t>2.7</t>
  </si>
  <si>
    <t>Устранение аварии и выполнение заявок населения</t>
  </si>
  <si>
    <t>2.7.2</t>
  </si>
  <si>
    <t>Устранение аварии на внутридомовых инженерных сетях и выполнение заявок населения (в домах, не оборудованных газовыми плитами)</t>
  </si>
  <si>
    <t>2.7.2.3</t>
  </si>
  <si>
    <t>Устранение аварии на внутридомовых инженерных сетях при сроке эксплуатации многоквартирного дома от 31 до 50 лет</t>
  </si>
  <si>
    <t>1000 м2  общей площади жилых помещений, не оборудованных газовыми плитами (в год для одной смены)</t>
  </si>
  <si>
    <t>3.1</t>
  </si>
  <si>
    <t>Работы по санитарному содержанию помещений общего пользования, системы мусороудаления и фасадов</t>
  </si>
  <si>
    <t>3.1.1</t>
  </si>
  <si>
    <t>Подметание и мытье полов во всех помещениях  общего пользования, кабинах лифта и их влажная уборка</t>
  </si>
  <si>
    <t>3.1.1.1</t>
  </si>
  <si>
    <t>Подметание и влажная уборка полов во всех помещениях  общего пользования в многоквартирном доме без лифтов и мусоропровода</t>
  </si>
  <si>
    <t>3.1.1.1.1</t>
  </si>
  <si>
    <t>Подметание лестничных площадок и маршей</t>
  </si>
  <si>
    <t>3.1.1.1.1.1</t>
  </si>
  <si>
    <t>Подметание лестничных площадок и маршей нижних трех этажей с предварительным их увлажнением (в доме без лифтов и мусоропровода)</t>
  </si>
  <si>
    <t>100 м2 убираемой  площади</t>
  </si>
  <si>
    <t>3.1.1.1.1.2</t>
  </si>
  <si>
    <t>Подметание лестничных площадок и маршей выше третьего этажа с предварительным их увлажнением (в доме без лифтов и мусоропровода)</t>
  </si>
  <si>
    <t>100 м2  убираемой  площади</t>
  </si>
  <si>
    <t>3.1.1.1.2</t>
  </si>
  <si>
    <t>Мытье лестничных площадок и маршей</t>
  </si>
  <si>
    <t>3.1.1.1.2.1</t>
  </si>
  <si>
    <t>Мытье  лестничных площадок и маршей нижних трех этажей (в доме без лифтов и мусоропровода)</t>
  </si>
  <si>
    <t>3.1.1.1.2.2</t>
  </si>
  <si>
    <t>Мытье  лестничных площадок и маршей  выше третьего этажа (в доме без лифтов и мусоропровода)</t>
  </si>
  <si>
    <t>3.1.3</t>
  </si>
  <si>
    <t>Протирка пыли  с колпаков  светильников, подоконников в помещениях общего  пользования</t>
  </si>
  <si>
    <t>3.1.3.1</t>
  </si>
  <si>
    <t>Протирка пыли  с колпаков  светильников (в подвалах, на чердаках и лестничных клетках)</t>
  </si>
  <si>
    <t>3.1.3.2</t>
  </si>
  <si>
    <t>Протирка пыли  с подоконников в помещениях общего  пользования</t>
  </si>
  <si>
    <t xml:space="preserve">100 м2 подоконников </t>
  </si>
  <si>
    <t>3.1.4</t>
  </si>
  <si>
    <t>Мытье и протирка дверей и окон в помещениях общего пользования, включая двери  мусорных камер</t>
  </si>
  <si>
    <t>3.1.4.1</t>
  </si>
  <si>
    <t>Мытье и протирка дверей  в помещениях общего пользования</t>
  </si>
  <si>
    <t>100 м2 дверей</t>
  </si>
  <si>
    <t>3.1.4.2</t>
  </si>
  <si>
    <t>Мытье и протирка оконных рам и переплетов в помещениях общего пользования</t>
  </si>
  <si>
    <t>100 м2 оконных рам</t>
  </si>
  <si>
    <t>3.1.4.3</t>
  </si>
  <si>
    <t>Мытье и протирка легкодоступных стекол в окнах  в помещениях общего пользования</t>
  </si>
  <si>
    <t>100 м2 окон</t>
  </si>
  <si>
    <t>3.1.5</t>
  </si>
  <si>
    <t>Уборка чердачного  и подвального помещений</t>
  </si>
  <si>
    <t>3.1.5.2</t>
  </si>
  <si>
    <t>Уборка и транспортировка мусора в установленное место</t>
  </si>
  <si>
    <t>3.1.5.2.1</t>
  </si>
  <si>
    <t>Уборка мусора и транспортировкой мусора до 50 м</t>
  </si>
  <si>
    <t>1 м3  мусора</t>
  </si>
  <si>
    <t>3.1.5.3</t>
  </si>
  <si>
    <t>Очистка чердаков  и подвалов от строительного мусора</t>
  </si>
  <si>
    <t>100 кг строительного мусора</t>
  </si>
  <si>
    <t>3.1.9</t>
  </si>
  <si>
    <t>Влажная протирка элементов лестничных клеток</t>
  </si>
  <si>
    <t>3.1.9.1</t>
  </si>
  <si>
    <t>Влажная протирка почтовых ящиков (с моющим средством)</t>
  </si>
  <si>
    <t>100 кв.м почтовых ящиков</t>
  </si>
  <si>
    <t>3.1.9.3</t>
  </si>
  <si>
    <t>Влажная протирка оконных решеток  (с моющим средством)</t>
  </si>
  <si>
    <t>100 кв.м решеток</t>
  </si>
  <si>
    <t>3.1.9.5</t>
  </si>
  <si>
    <t>Влажная протирка шкафов для электросчетчиков слаботочных устройств  (с моющим средством)</t>
  </si>
  <si>
    <t>100 кв. м шкафов для электросчетчиков слаботочных устройств</t>
  </si>
  <si>
    <t>3.1.9.7</t>
  </si>
  <si>
    <t>Влажная протирка перил лестниц (с моющим средством)</t>
  </si>
  <si>
    <t>100 кв.м. перил лестниц</t>
  </si>
  <si>
    <t>3.1.9.10</t>
  </si>
  <si>
    <t>Влажная протирка стен (с моющим средством)</t>
  </si>
  <si>
    <t>100 кв. м стен</t>
  </si>
  <si>
    <t>3.1.9.11</t>
  </si>
  <si>
    <t>Влажная протирка отопительных приборов (моющим средством)</t>
  </si>
  <si>
    <t>100 кв. м отопительных приборов</t>
  </si>
  <si>
    <t>3.1.11</t>
  </si>
  <si>
    <t>Обметание пыли с потолков</t>
  </si>
  <si>
    <t>100 кв. м. потолков</t>
  </si>
  <si>
    <t>3.2</t>
  </si>
  <si>
    <t>Уборка земельного участка, входящего в состав общего имущества многоквартирного дома</t>
  </si>
  <si>
    <t>3.2.1</t>
  </si>
  <si>
    <t>Подметание  земельного  участка в летний период</t>
  </si>
  <si>
    <t>3.2.1.2</t>
  </si>
  <si>
    <t>Подметание в летний период  земельного участка с усовершенствованным покрытием 2 класса</t>
  </si>
  <si>
    <t>1 000 кв.м. территории</t>
  </si>
  <si>
    <t>3.2.3</t>
  </si>
  <si>
    <t>Уборка и уход за газонами, очистка  урн</t>
  </si>
  <si>
    <t>3.2.3.1</t>
  </si>
  <si>
    <t>Уборка и уход за газонами</t>
  </si>
  <si>
    <t>3.2.3.1.2</t>
  </si>
  <si>
    <t>Уборка газонов сильной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</si>
  <si>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</si>
  <si>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</si>
  <si>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</si>
  <si>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</si>
  <si>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</si>
  <si>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</si>
  <si>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</si>
  <si>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</t>
  </si>
  <si>
    <t>Содержание урн</t>
  </si>
  <si>
    <t>3.2.3.2.10</t>
  </si>
  <si>
    <t>Очистка опрокидывающихся урн от мусора</t>
  </si>
  <si>
    <t>на 100 урн</t>
  </si>
  <si>
    <t>3.2.4</t>
  </si>
  <si>
    <t>Подрезка деревьев и кустов</t>
  </si>
  <si>
    <t>3.2.4.1</t>
  </si>
  <si>
    <t>Формовочная обрезка деревьев высотой более 5 м</t>
  </si>
  <si>
    <t>100 деревьев</t>
  </si>
  <si>
    <t>3.2.4.5</t>
  </si>
  <si>
    <t>Обрезка под естественный вид крон кустарников</t>
  </si>
  <si>
    <t>1000 кустов</t>
  </si>
  <si>
    <t>3.2.5</t>
  </si>
  <si>
    <t>Очистка и текущий ремонт детских и спортивных  площадок, элементов  благоустройства</t>
  </si>
  <si>
    <t>3.2.5.2</t>
  </si>
  <si>
    <t>Окраска</t>
  </si>
  <si>
    <t>3.2.5.2.1</t>
  </si>
  <si>
    <t>Окраска скамьи без спинки с металлическими опорами</t>
  </si>
  <si>
    <t>скамья</t>
  </si>
  <si>
    <t>3.2.5.2.4</t>
  </si>
  <si>
    <t>Окраска качелей-маятника</t>
  </si>
  <si>
    <t>качели</t>
  </si>
  <si>
    <t>3.2.5.2.5</t>
  </si>
  <si>
    <t>Окраска качелей-балансира</t>
  </si>
  <si>
    <t>3.2.5.2.6</t>
  </si>
  <si>
    <t>Окраска поверхности песочницы</t>
  </si>
  <si>
    <t>песочница</t>
  </si>
  <si>
    <t>3.2.5.2.12</t>
  </si>
  <si>
    <t>Окраска металлических ограждений спортивных площадок</t>
  </si>
  <si>
    <t xml:space="preserve">пог.м. </t>
  </si>
  <si>
    <t>3.2.5.3</t>
  </si>
  <si>
    <t>Ремонт</t>
  </si>
  <si>
    <t>3.2.5.3.1</t>
  </si>
  <si>
    <t>Ремонт скамьи без спинки с металлическими опорами</t>
  </si>
  <si>
    <t>3.2.5.3.3</t>
  </si>
  <si>
    <t>Ремонт качелей-маятника</t>
  </si>
  <si>
    <t>3.2.5.3.4</t>
  </si>
  <si>
    <t>Ремонт качелей-балансира</t>
  </si>
  <si>
    <t>3.2.5.3.5</t>
  </si>
  <si>
    <t>Ремонт песочницы</t>
  </si>
  <si>
    <t>3.2.5.3.11</t>
  </si>
  <si>
    <t>Ремонт металлических ограждений спортивных площадок</t>
  </si>
  <si>
    <t>пог.м заменяемого участка</t>
  </si>
  <si>
    <t>3.2.5.4</t>
  </si>
  <si>
    <t>Заполнение песочницы песком</t>
  </si>
  <si>
    <t>3.2.6</t>
  </si>
  <si>
    <t>Сдвижка и  подметание  снега при отсутствии снегопадов</t>
  </si>
  <si>
    <t>3.2.6.2</t>
  </si>
  <si>
    <t>Сдвижка и подметание снега при отсутствии снегопада на придомовой территории с усовершенствованным покрытием 2 класса</t>
  </si>
  <si>
    <t>10 000 кв.м. территории</t>
  </si>
  <si>
    <t>3.2.7</t>
  </si>
  <si>
    <t>Сдвижка и  подметание снега  при снегопаде</t>
  </si>
  <si>
    <t>3.2.7.2</t>
  </si>
  <si>
    <t>Сдвижка и подметание снега при снегопаде на придомовой территории с усовершенствованным покрытием 2 класса</t>
  </si>
  <si>
    <t>3.2.8</t>
  </si>
  <si>
    <t>Ликвидация наледи</t>
  </si>
  <si>
    <t>3.2.8.2</t>
  </si>
  <si>
    <t>Очистка территории с усовершенствованным покрытием 2 класса от наледи без обработки противогололедными реагентами</t>
  </si>
  <si>
    <t>3.2.8.9</t>
  </si>
  <si>
    <t>Посыпка территории II класса</t>
  </si>
  <si>
    <t>3.2.8.11</t>
  </si>
  <si>
    <t>Транспортировка смеси песка с хлоридами от места складирования к месту посыпки</t>
  </si>
  <si>
    <t>1 куб.м</t>
  </si>
  <si>
    <t>3.2.8.13</t>
  </si>
  <si>
    <t>Очистка от наледи и льда водосточных труб</t>
  </si>
  <si>
    <t>1 шт</t>
  </si>
  <si>
    <t>3.2.9</t>
  </si>
  <si>
    <t>Очистка кровли</t>
  </si>
  <si>
    <t>3.2.9.2</t>
  </si>
  <si>
    <t>Очистка кровли от снега, сбивание сосулек (при толщине слоя до 20 см)</t>
  </si>
  <si>
    <t>100 кв.м. кровли</t>
  </si>
  <si>
    <t>3.2.9.4</t>
  </si>
  <si>
    <t>Очистка кровли от мусора, листьев</t>
  </si>
  <si>
    <t>100 кв.м кровли</t>
  </si>
  <si>
    <t>3.2.10</t>
  </si>
  <si>
    <t>Механизированная уборка территории</t>
  </si>
  <si>
    <t>3.2.10.4</t>
  </si>
  <si>
    <t>Сдвигание свежевыпавшего снега толщиной слоя свыше 2 см в валы или кучи трактором</t>
  </si>
  <si>
    <t>1000 м2</t>
  </si>
  <si>
    <t>3.2.10.7</t>
  </si>
  <si>
    <t>Укладка снега, льда в валы или кучи  после механизированной уборки</t>
  </si>
  <si>
    <t>1 м3</t>
  </si>
  <si>
    <t>3.2.10.9</t>
  </si>
  <si>
    <t>Погрузка снега и скола в автосамосвалы погрузчиками</t>
  </si>
  <si>
    <t>м3</t>
  </si>
  <si>
    <t>3.2.11</t>
  </si>
  <si>
    <t>Уборка крыльца и площадки перед входом в подъезд (в холодный период года)</t>
  </si>
  <si>
    <t>3.2.12</t>
  </si>
  <si>
    <t>Уборка крыльца и площадки перед входом в подъезд (в теплый период года)</t>
  </si>
  <si>
    <t>3.2.13</t>
  </si>
  <si>
    <t>Очистка металлической решетки и приямка (в теплый период)</t>
  </si>
  <si>
    <t>1 приямок</t>
  </si>
  <si>
    <t>3.2.14</t>
  </si>
  <si>
    <t>Очистка контейнерной площадки в холодный период</t>
  </si>
  <si>
    <t>3.2.15</t>
  </si>
  <si>
    <t>Уборка мусора на  контейнерных  площадках</t>
  </si>
  <si>
    <t>3.2.16</t>
  </si>
  <si>
    <t>Погрузка мусора на автотранспорт вручную</t>
  </si>
  <si>
    <t>100 куб.м</t>
  </si>
  <si>
    <t>3.2.17</t>
  </si>
  <si>
    <t>Прочистка водоприемной воронки внутреннего водостока</t>
  </si>
  <si>
    <t>1 воронка</t>
  </si>
  <si>
    <t>3.2.18</t>
  </si>
  <si>
    <t>Перекидывание снега и скола</t>
  </si>
  <si>
    <t>3.3</t>
  </si>
  <si>
    <t>Ремонт и установка объектов благоустройства придомовой территории</t>
  </si>
  <si>
    <t>3.3.1</t>
  </si>
  <si>
    <t>Ремонт  объектов  внешнего  благоустройства</t>
  </si>
  <si>
    <t>3.3.1.5</t>
  </si>
  <si>
    <t>Ремонт асфальтобетонного покрытия проездов</t>
  </si>
  <si>
    <t>100 м2</t>
  </si>
  <si>
    <t>3.3.1.6</t>
  </si>
  <si>
    <t>Ремонт тротуаров</t>
  </si>
  <si>
    <t>10 м2</t>
  </si>
  <si>
    <t>3.3.2</t>
  </si>
  <si>
    <t>Строительство  объектов внешнего  благоустройства</t>
  </si>
  <si>
    <t>3.3.2.3</t>
  </si>
  <si>
    <t>Установка скамьи с металлическими опорами</t>
  </si>
  <si>
    <t>3.3.2.12</t>
  </si>
  <si>
    <t>Установка металлических ограждений спортивных площадок</t>
  </si>
  <si>
    <t>3.4</t>
  </si>
  <si>
    <t>Прочие работы</t>
  </si>
  <si>
    <t>3.4.1</t>
  </si>
  <si>
    <t>Дератизация чердаков и подвалов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</si>
  <si>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</si>
  <si>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</si>
  <si>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</si>
  <si>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</si>
  <si>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</si>
  <si>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ИТОГО:</t>
  </si>
  <si>
    <t>Стоимость на кв.м. в мес., руб.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</si>
</sst>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12">
    <font>
      <sz val="11"/>
      <color theme="1"/>
      <name val="Calibri"/>
      <family val="2"/>
      <scheme val="minor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70707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9"/>
      <color rgb="FFFFFFF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2F2F2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7" fillId="3" borderId="5" xfId="0" applyFont="1" applyFill="1" applyBorder="1" applyAlignment="1">
      <alignment horizontal="center" vertical="top" wrapText="1" indent="1"/>
    </xf>
    <xf numFmtId="49" fontId="7" fillId="3" borderId="6" xfId="0" applyNumberFormat="1" applyFont="1" applyFill="1" applyBorder="1" applyAlignment="1">
      <alignment horizontal="left" vertical="top" wrapText="1" indent="1"/>
    </xf>
    <xf numFmtId="0" fontId="8" fillId="0" borderId="0" xfId="0" applyFont="1"/>
    <xf numFmtId="0" fontId="8" fillId="4" borderId="5" xfId="0" applyFont="1" applyFill="1" applyBorder="1" applyAlignment="1">
      <alignment horizontal="center" vertical="top" wrapText="1" indent="1"/>
    </xf>
    <xf numFmtId="49" fontId="8" fillId="4" borderId="6" xfId="0" applyNumberFormat="1" applyFont="1" applyFill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 wrapText="1" indent="1"/>
    </xf>
    <xf numFmtId="49" fontId="2" fillId="0" borderId="6" xfId="0" applyNumberFormat="1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0" fontId="3" fillId="5" borderId="6" xfId="0" applyFont="1" applyFill="1" applyBorder="1" applyAlignment="1">
      <alignment horizontal="right" vertical="top" indent="1"/>
    </xf>
    <xf numFmtId="0" fontId="3" fillId="6" borderId="6" xfId="0" applyFont="1" applyFill="1" applyBorder="1" applyAlignment="1">
      <alignment horizontal="right" vertical="top" indent="1"/>
    </xf>
    <xf numFmtId="164" fontId="2" fillId="0" borderId="6" xfId="0" applyNumberFormat="1" applyFont="1" applyBorder="1" applyAlignment="1">
      <alignment horizontal="right" vertical="top" indent="1"/>
    </xf>
    <xf numFmtId="0" fontId="9" fillId="0" borderId="0" xfId="0" applyFont="1" applyAlignment="1">
      <alignment horizontal="right" vertical="center" wrapText="1" indent="1"/>
    </xf>
    <xf numFmtId="164" fontId="9" fillId="2" borderId="2" xfId="0" applyNumberFormat="1" applyFont="1" applyFill="1" applyBorder="1" applyAlignment="1">
      <alignment horizontal="right" vertical="center" wrapText="1" indent="1"/>
    </xf>
    <xf numFmtId="164" fontId="6" fillId="0" borderId="4" xfId="0" applyNumberFormat="1" applyFont="1" applyBorder="1" applyAlignment="1">
      <alignment horizontal="left" indent="1"/>
    </xf>
    <xf numFmtId="164" fontId="2" fillId="7" borderId="11" xfId="0" applyNumberFormat="1" applyFont="1" applyFill="1" applyBorder="1" applyAlignment="1">
      <alignment horizontal="right" vertical="top" indent="1"/>
    </xf>
    <xf numFmtId="164" fontId="9" fillId="2" borderId="10" xfId="0" applyNumberFormat="1" applyFont="1" applyFill="1" applyBorder="1" applyAlignment="1">
      <alignment horizontal="right" vertical="center" wrapText="1" indent="1"/>
    </xf>
    <xf numFmtId="0" fontId="7" fillId="3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indent="1"/>
    </xf>
    <xf numFmtId="164" fontId="2" fillId="7" borderId="13" xfId="0" applyNumberFormat="1" applyFont="1" applyFill="1" applyBorder="1" applyAlignment="1">
      <alignment horizontal="right" vertical="top" indent="1"/>
    </xf>
    <xf numFmtId="0" fontId="8" fillId="4" borderId="13" xfId="0" applyFont="1" applyFill="1" applyBorder="1" applyAlignment="1">
      <alignment indent="2"/>
    </xf>
    <xf numFmtId="0" fontId="8" fillId="4" borderId="13" xfId="0" applyFont="1" applyFill="1" applyBorder="1" applyAlignment="1">
      <alignment indent="3"/>
    </xf>
    <xf numFmtId="164" fontId="2" fillId="7" borderId="14" xfId="0" applyNumberFormat="1" applyFont="1" applyFill="1" applyBorder="1" applyAlignment="1">
      <alignment horizontal="right" vertical="top" indent="1"/>
    </xf>
    <xf numFmtId="164" fontId="9" fillId="2" borderId="12" xfId="0" applyNumberFormat="1" applyFont="1" applyFill="1" applyBorder="1" applyAlignment="1">
      <alignment horizontal="right" vertical="center" wrapText="1" indent="1"/>
    </xf>
    <xf numFmtId="164" fontId="4" fillId="2" borderId="10" xfId="0" applyNumberFormat="1" applyFont="1" applyFill="1" applyBorder="1" applyAlignment="1">
      <alignment horizontal="center" vertical="center" wrapText="1" indent="1"/>
    </xf>
    <xf numFmtId="164" fontId="11" fillId="2" borderId="15" xfId="0" applyNumberFormat="1" applyFont="1" applyFill="1" applyBorder="1" applyAlignment="1">
      <alignment horizontal="center" vertical="center" wrapText="1" indent="1"/>
    </xf>
    <xf numFmtId="0" fontId="7" fillId="3" borderId="16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indent="1"/>
    </xf>
    <xf numFmtId="164" fontId="6" fillId="0" borderId="17" xfId="0" applyNumberFormat="1" applyFont="1" applyBorder="1" applyAlignment="1">
      <alignment horizontal="left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right" indent="1"/>
    </xf>
    <xf numFmtId="164" fontId="6" fillId="0" borderId="4" xfId="0" applyNumberFormat="1" applyFont="1" applyBorder="1" applyAlignment="1">
      <alignment horizontal="right" indent="1"/>
    </xf>
    <xf numFmtId="0" fontId="7" fillId="3" borderId="7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indent="1"/>
    </xf>
    <xf numFmtId="0" fontId="8" fillId="4" borderId="11" xfId="0" applyFont="1" applyFill="1" applyBorder="1" applyAlignment="1">
      <alignment indent="1"/>
    </xf>
    <xf numFmtId="0" fontId="8" fillId="4" borderId="7" xfId="0" applyFont="1" applyFill="1" applyBorder="1" applyAlignment="1">
      <alignment indent="2"/>
    </xf>
    <xf numFmtId="0" fontId="8" fillId="4" borderId="11" xfId="0" applyFont="1" applyFill="1" applyBorder="1" applyAlignment="1">
      <alignment indent="2"/>
    </xf>
    <xf numFmtId="0" fontId="8" fillId="4" borderId="7" xfId="0" applyFont="1" applyFill="1" applyBorder="1" applyAlignment="1">
      <alignment indent="3"/>
    </xf>
    <xf numFmtId="0" fontId="8" fillId="4" borderId="11" xfId="0" applyFont="1" applyFill="1" applyBorder="1" applyAlignment="1">
      <alignment indent="3"/>
    </xf>
    <xf numFmtId="0" fontId="10" fillId="2" borderId="1" xfId="0" applyFont="1" applyFill="1" applyBorder="1" applyAlignment="1">
      <alignment horizontal="right" vertical="center" wrapText="1" indent="1"/>
    </xf>
    <xf numFmtId="14" fontId="6" fillId="0" borderId="3" xfId="0" applyNumberFormat="1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1"/>
  <sheetViews>
    <sheetView tabSelected="1" workbookViewId="0">
      <pane ySplit="1" topLeftCell="A2" activePane="bottomLeft" state="frozen"/>
      <selection pane="bottomLeft" activeCell="Q9" sqref="Q9"/>
    </sheetView>
  </sheetViews>
  <sheetFormatPr defaultRowHeight="15.75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5" width="16" style="5" customWidth="1"/>
  </cols>
  <sheetData>
    <row r="1" spans="1:15" s="6" customFormat="1" ht="39.950000000000003" customHeight="1" thickTop="1" thickBot="1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35" t="s">
        <v>13</v>
      </c>
      <c r="O1" s="36" t="s">
        <v>849</v>
      </c>
    </row>
    <row r="2" spans="1:15" thickTop="1">
      <c r="A2" t="s">
        <v>0</v>
      </c>
      <c r="B2" s="40" t="s">
        <v>14</v>
      </c>
      <c r="C2" s="41"/>
      <c r="D2" s="41"/>
      <c r="E2" s="41"/>
      <c r="F2" s="41"/>
      <c r="G2" s="41"/>
      <c r="H2" s="41"/>
      <c r="I2" s="41"/>
      <c r="J2" s="41"/>
      <c r="K2" s="41"/>
      <c r="L2" s="44" t="s">
        <v>15</v>
      </c>
      <c r="M2" s="44"/>
      <c r="N2" s="55">
        <v>45575</v>
      </c>
      <c r="O2" s="38"/>
    </row>
    <row r="3" spans="1:15" ht="36.75" customHeight="1" thickBot="1">
      <c r="B3" s="42"/>
      <c r="C3" s="43"/>
      <c r="D3" s="43"/>
      <c r="E3" s="43"/>
      <c r="F3" s="43"/>
      <c r="G3" s="43"/>
      <c r="H3" s="43"/>
      <c r="I3" s="43"/>
      <c r="J3" s="43"/>
      <c r="K3" s="43"/>
      <c r="L3" s="45" t="s">
        <v>16</v>
      </c>
      <c r="M3" s="45"/>
      <c r="N3" s="25">
        <v>3643</v>
      </c>
      <c r="O3" s="39"/>
    </row>
    <row r="4" spans="1:15" s="11" customFormat="1" thickTop="1">
      <c r="B4" s="12"/>
      <c r="C4" s="13" t="s">
        <v>17</v>
      </c>
      <c r="D4" s="46" t="s">
        <v>18</v>
      </c>
      <c r="E4" s="46"/>
      <c r="F4" s="46"/>
      <c r="G4" s="46"/>
      <c r="H4" s="46"/>
      <c r="I4" s="46"/>
      <c r="J4" s="46"/>
      <c r="K4" s="46"/>
      <c r="L4" s="46"/>
      <c r="M4" s="46"/>
      <c r="N4" s="47"/>
      <c r="O4" s="37"/>
    </row>
    <row r="5" spans="1:15" s="14" customFormat="1" ht="12.75">
      <c r="B5" s="15"/>
      <c r="C5" s="16" t="s">
        <v>19</v>
      </c>
      <c r="D5" s="48" t="s">
        <v>20</v>
      </c>
      <c r="E5" s="48"/>
      <c r="F5" s="48"/>
      <c r="G5" s="48"/>
      <c r="H5" s="48"/>
      <c r="I5" s="48"/>
      <c r="J5" s="48"/>
      <c r="K5" s="48"/>
      <c r="L5" s="48"/>
      <c r="M5" s="48"/>
      <c r="N5" s="49"/>
      <c r="O5" s="29"/>
    </row>
    <row r="6" spans="1:15">
      <c r="B6" s="17">
        <v>1</v>
      </c>
      <c r="C6" s="18" t="s">
        <v>21</v>
      </c>
      <c r="D6" s="19" t="s">
        <v>22</v>
      </c>
      <c r="E6" s="19" t="s">
        <v>23</v>
      </c>
      <c r="F6" s="20">
        <v>3.36</v>
      </c>
      <c r="G6" s="21">
        <v>1</v>
      </c>
      <c r="H6" s="22">
        <f>F6 * G6 * 1435.619052</f>
        <v>4823.6800147200001</v>
      </c>
      <c r="I6" s="22">
        <f>F6 * G6 * 0</f>
        <v>0</v>
      </c>
      <c r="J6" s="22">
        <f>F6 * G6 * 19.067664</f>
        <v>64.067351040000005</v>
      </c>
      <c r="K6" s="22">
        <f>F6 * G6 * 1366.709338</f>
        <v>4592.1433756799997</v>
      </c>
      <c r="L6" s="22">
        <f>F6 * G6 * 327.948845</f>
        <v>1101.9081191999999</v>
      </c>
      <c r="M6" s="22">
        <f>F6 * G6 * 287.12381</f>
        <v>964.7360015999999</v>
      </c>
      <c r="N6" s="26">
        <f>SUM(H6:M6)</f>
        <v>11546.53486224</v>
      </c>
      <c r="O6" s="30">
        <v>0.26412606053252813</v>
      </c>
    </row>
    <row r="7" spans="1:15" s="14" customFormat="1" ht="12.75">
      <c r="B7" s="15"/>
      <c r="C7" s="16" t="s">
        <v>24</v>
      </c>
      <c r="D7" s="48" t="s">
        <v>25</v>
      </c>
      <c r="E7" s="48"/>
      <c r="F7" s="48"/>
      <c r="G7" s="48"/>
      <c r="H7" s="48"/>
      <c r="I7" s="48"/>
      <c r="J7" s="48"/>
      <c r="K7" s="48"/>
      <c r="L7" s="48"/>
      <c r="M7" s="48"/>
      <c r="N7" s="49"/>
      <c r="O7" s="29"/>
    </row>
    <row r="8" spans="1:15" ht="25.5">
      <c r="B8" s="17">
        <v>2</v>
      </c>
      <c r="C8" s="18" t="s">
        <v>26</v>
      </c>
      <c r="D8" s="19" t="s">
        <v>27</v>
      </c>
      <c r="E8" s="19" t="s">
        <v>28</v>
      </c>
      <c r="F8" s="20">
        <v>3</v>
      </c>
      <c r="G8" s="21">
        <v>0.2</v>
      </c>
      <c r="H8" s="22">
        <f>F8 * G8 * 1414.711751</f>
        <v>848.82705060000012</v>
      </c>
      <c r="I8" s="22">
        <f>F8 * G8 * 4133.305751</f>
        <v>2479.9834506000002</v>
      </c>
      <c r="J8" s="22">
        <f>F8 * G8 * 33.78584</f>
        <v>20.271504000000004</v>
      </c>
      <c r="K8" s="22">
        <f>F8 * G8 * 1346.805587</f>
        <v>808.08335220000015</v>
      </c>
      <c r="L8" s="22">
        <f>F8 * G8 * 760.81866</f>
        <v>456.49119600000006</v>
      </c>
      <c r="M8" s="22">
        <f>F8 * G8 * 282.94235</f>
        <v>169.76541</v>
      </c>
      <c r="N8" s="26">
        <f>SUM(H8:M8)</f>
        <v>4783.4219634000001</v>
      </c>
      <c r="O8" s="30">
        <v>0.10942039444139445</v>
      </c>
    </row>
    <row r="9" spans="1:15" s="14" customFormat="1" ht="12.75">
      <c r="B9" s="15"/>
      <c r="C9" s="16" t="s">
        <v>29</v>
      </c>
      <c r="D9" s="48" t="s">
        <v>30</v>
      </c>
      <c r="E9" s="48"/>
      <c r="F9" s="48"/>
      <c r="G9" s="48"/>
      <c r="H9" s="48"/>
      <c r="I9" s="48"/>
      <c r="J9" s="48"/>
      <c r="K9" s="48"/>
      <c r="L9" s="48"/>
      <c r="M9" s="48"/>
      <c r="N9" s="49"/>
      <c r="O9" s="29"/>
    </row>
    <row r="10" spans="1:15" ht="38.25">
      <c r="B10" s="17">
        <v>3</v>
      </c>
      <c r="C10" s="18" t="s">
        <v>31</v>
      </c>
      <c r="D10" s="19" t="s">
        <v>32</v>
      </c>
      <c r="E10" s="19" t="s">
        <v>33</v>
      </c>
      <c r="F10" s="20">
        <v>0.12</v>
      </c>
      <c r="G10" s="21">
        <v>1</v>
      </c>
      <c r="H10" s="22">
        <f>F10 * G10 * 4483.592352</f>
        <v>538.03108223999993</v>
      </c>
      <c r="I10" s="22">
        <f>F10 * G10 * 13439.180475</f>
        <v>1612.7016569999998</v>
      </c>
      <c r="J10" s="22">
        <f t="shared" ref="J10:J17" si="0">F10 * G10 * 0</f>
        <v>0</v>
      </c>
      <c r="K10" s="22">
        <f>F10 * G10 * 4268.379919</f>
        <v>512.20559028000002</v>
      </c>
      <c r="L10" s="22">
        <f>F10 * G10 * 2435.77041299999</f>
        <v>292.29244955999883</v>
      </c>
      <c r="M10" s="22">
        <f>F10 * G10 * 896.71847</f>
        <v>107.60621639999999</v>
      </c>
      <c r="N10" s="26">
        <f t="shared" ref="N10:N17" si="1">SUM(H10:M10)</f>
        <v>3062.8369954799982</v>
      </c>
      <c r="O10" s="30">
        <v>7.0062151054076274E-2</v>
      </c>
    </row>
    <row r="11" spans="1:15">
      <c r="B11" s="17">
        <v>4</v>
      </c>
      <c r="C11" s="18" t="s">
        <v>34</v>
      </c>
      <c r="D11" s="19" t="s">
        <v>35</v>
      </c>
      <c r="E11" s="19" t="s">
        <v>36</v>
      </c>
      <c r="F11" s="20">
        <v>3.3000000000000002E-2</v>
      </c>
      <c r="G11" s="21">
        <v>12</v>
      </c>
      <c r="H11" s="22">
        <f>F11 * G11 * 1591.675285</f>
        <v>630.30341286000009</v>
      </c>
      <c r="I11" s="22">
        <f>F11 * G11 * 4885.368</f>
        <v>1934.6057280000002</v>
      </c>
      <c r="J11" s="22">
        <f t="shared" si="0"/>
        <v>0</v>
      </c>
      <c r="K11" s="22">
        <f>F11 * G11 * 1515.274871</f>
        <v>600.04884891600011</v>
      </c>
      <c r="L11" s="22">
        <f>F11 * G11 * 876.773914</f>
        <v>347.20246994400003</v>
      </c>
      <c r="M11" s="22">
        <f>F11 * G11 * 318.335057</f>
        <v>126.060682572</v>
      </c>
      <c r="N11" s="26">
        <f t="shared" si="1"/>
        <v>3638.2211422920004</v>
      </c>
      <c r="O11" s="30">
        <v>8.3224017345868803E-2</v>
      </c>
    </row>
    <row r="12" spans="1:15">
      <c r="B12" s="17">
        <v>5</v>
      </c>
      <c r="C12" s="18" t="s">
        <v>37</v>
      </c>
      <c r="D12" s="19" t="s">
        <v>38</v>
      </c>
      <c r="E12" s="19" t="s">
        <v>36</v>
      </c>
      <c r="F12" s="20">
        <v>0.03</v>
      </c>
      <c r="G12" s="21">
        <v>1</v>
      </c>
      <c r="H12" s="22">
        <f>F12 * G12 * 5748.940747</f>
        <v>172.46822240999998</v>
      </c>
      <c r="I12" s="22">
        <f>F12 * G12 * 7464.4272</f>
        <v>223.932816</v>
      </c>
      <c r="J12" s="22">
        <f t="shared" si="0"/>
        <v>0</v>
      </c>
      <c r="K12" s="22">
        <f>F12 * G12 * 5472.991592</f>
        <v>164.18974776000002</v>
      </c>
      <c r="L12" s="22">
        <f>F12 * G12 * 2092.713581</f>
        <v>62.781407429999994</v>
      </c>
      <c r="M12" s="22">
        <f>F12 * G12 * 1149.788149</f>
        <v>34.49364447</v>
      </c>
      <c r="N12" s="26">
        <f t="shared" si="1"/>
        <v>657.86583807</v>
      </c>
      <c r="O12" s="30">
        <v>1.5048628375651935E-2</v>
      </c>
    </row>
    <row r="13" spans="1:15">
      <c r="B13" s="17">
        <v>6</v>
      </c>
      <c r="C13" s="18" t="s">
        <v>39</v>
      </c>
      <c r="D13" s="19" t="s">
        <v>40</v>
      </c>
      <c r="E13" s="19" t="s">
        <v>36</v>
      </c>
      <c r="F13" s="20">
        <v>0.03</v>
      </c>
      <c r="G13" s="21">
        <v>1</v>
      </c>
      <c r="H13" s="22">
        <f>F13 * G13 * 8121.502066</f>
        <v>243.64506197999998</v>
      </c>
      <c r="I13" s="22">
        <f>F13 * G13 * 3387.384</f>
        <v>101.62151999999999</v>
      </c>
      <c r="J13" s="22">
        <f t="shared" si="0"/>
        <v>0</v>
      </c>
      <c r="K13" s="22">
        <f>F13 * G13 * 7731.669967</f>
        <v>231.95009900999997</v>
      </c>
      <c r="L13" s="22">
        <f>F13 * G13 * 2201.242355</f>
        <v>66.037270649999996</v>
      </c>
      <c r="M13" s="22">
        <f>F13 * G13 * 1624.300413</f>
        <v>48.729012389999994</v>
      </c>
      <c r="N13" s="26">
        <f t="shared" si="1"/>
        <v>691.98296402999995</v>
      </c>
      <c r="O13" s="30">
        <v>1.5829054900494098E-2</v>
      </c>
    </row>
    <row r="14" spans="1:15" ht="25.5">
      <c r="B14" s="17">
        <v>7</v>
      </c>
      <c r="C14" s="18" t="s">
        <v>41</v>
      </c>
      <c r="D14" s="19" t="s">
        <v>42</v>
      </c>
      <c r="E14" s="19" t="s">
        <v>43</v>
      </c>
      <c r="F14" s="20">
        <v>0.03</v>
      </c>
      <c r="G14" s="21">
        <v>0.2</v>
      </c>
      <c r="H14" s="22">
        <f>F14 * G14 * 10354.856537</f>
        <v>62.129139221999999</v>
      </c>
      <c r="I14" s="22">
        <f>F14 * G14 * 127571.28611</f>
        <v>765.42771665999999</v>
      </c>
      <c r="J14" s="22">
        <f t="shared" si="0"/>
        <v>0</v>
      </c>
      <c r="K14" s="22">
        <f>F14 * G14 * 9857.823423</f>
        <v>59.146940538000003</v>
      </c>
      <c r="L14" s="22">
        <f>F14 * G14 * 15809.695893</f>
        <v>94.858175357999997</v>
      </c>
      <c r="M14" s="22">
        <f>F14 * G14 * 2070.971307</f>
        <v>12.425827841999999</v>
      </c>
      <c r="N14" s="26">
        <f t="shared" si="1"/>
        <v>993.98779962000003</v>
      </c>
      <c r="O14" s="30">
        <v>2.2737391335437826E-2</v>
      </c>
    </row>
    <row r="15" spans="1:15">
      <c r="B15" s="17">
        <v>8</v>
      </c>
      <c r="C15" s="18" t="s">
        <v>44</v>
      </c>
      <c r="D15" s="19" t="s">
        <v>45</v>
      </c>
      <c r="E15" s="19" t="s">
        <v>46</v>
      </c>
      <c r="F15" s="20">
        <v>3</v>
      </c>
      <c r="G15" s="21">
        <v>0.2</v>
      </c>
      <c r="H15" s="22">
        <f>F15 * G15 * 755.698906</f>
        <v>453.41934360000005</v>
      </c>
      <c r="I15" s="22">
        <f>F15 * G15 * 1264.115816</f>
        <v>758.46948960000009</v>
      </c>
      <c r="J15" s="22">
        <f t="shared" si="0"/>
        <v>0</v>
      </c>
      <c r="K15" s="22">
        <f>F15 * G15 * 719.425359</f>
        <v>431.65521540000003</v>
      </c>
      <c r="L15" s="22">
        <f>F15 * G15 * 304.935075</f>
        <v>182.96104500000001</v>
      </c>
      <c r="M15" s="22">
        <f>F15 * G15 * 151.139781</f>
        <v>90.683868600000011</v>
      </c>
      <c r="N15" s="26">
        <f t="shared" si="1"/>
        <v>1917.1889622000003</v>
      </c>
      <c r="O15" s="30">
        <v>4.3855544015920955E-2</v>
      </c>
    </row>
    <row r="16" spans="1:15">
      <c r="B16" s="17">
        <v>9</v>
      </c>
      <c r="C16" s="18" t="s">
        <v>47</v>
      </c>
      <c r="D16" s="19" t="s">
        <v>48</v>
      </c>
      <c r="E16" s="19" t="s">
        <v>49</v>
      </c>
      <c r="F16" s="20">
        <v>0.15</v>
      </c>
      <c r="G16" s="21">
        <v>0.2</v>
      </c>
      <c r="H16" s="22">
        <f>F16 * G16 * 8311.298654</f>
        <v>249.33895962</v>
      </c>
      <c r="I16" s="22">
        <f>F16 * G16 * 67892.886109</f>
        <v>2036.7865832699999</v>
      </c>
      <c r="J16" s="22">
        <f t="shared" si="0"/>
        <v>0</v>
      </c>
      <c r="K16" s="22">
        <f>F16 * G16 * 7912.35631899999</f>
        <v>237.37068956999971</v>
      </c>
      <c r="L16" s="22">
        <f>F16 * G16 * 9049.663486</f>
        <v>271.48990457999997</v>
      </c>
      <c r="M16" s="22">
        <f>F16 * G16 * 1662.259731</f>
        <v>49.867791930000003</v>
      </c>
      <c r="N16" s="26">
        <f t="shared" si="1"/>
        <v>2844.8539289699993</v>
      </c>
      <c r="O16" s="30">
        <v>6.5075805859868233E-2</v>
      </c>
    </row>
    <row r="17" spans="2:15" ht="38.25">
      <c r="B17" s="17">
        <v>10</v>
      </c>
      <c r="C17" s="18" t="s">
        <v>50</v>
      </c>
      <c r="D17" s="19" t="s">
        <v>51</v>
      </c>
      <c r="E17" s="19" t="s">
        <v>36</v>
      </c>
      <c r="F17" s="20">
        <v>0.06</v>
      </c>
      <c r="G17" s="21">
        <v>0.1</v>
      </c>
      <c r="H17" s="22">
        <f>F17 * G17 * 14448.376354</f>
        <v>86.690258123999996</v>
      </c>
      <c r="I17" s="22">
        <f>F17 * G17 * 20500.196424</f>
        <v>123.00117854400001</v>
      </c>
      <c r="J17" s="22">
        <f t="shared" si="0"/>
        <v>0</v>
      </c>
      <c r="K17" s="22">
        <f>F17 * G17 * 13754.8542889999</f>
        <v>82.529125733999408</v>
      </c>
      <c r="L17" s="22">
        <f>F17 * G17 * 5443.072297</f>
        <v>32.658433781999996</v>
      </c>
      <c r="M17" s="22">
        <f>F17 * G17 * 2889.675271</f>
        <v>17.338051626000002</v>
      </c>
      <c r="N17" s="26">
        <f t="shared" si="1"/>
        <v>342.21704780999937</v>
      </c>
      <c r="O17" s="30">
        <v>7.8281875699972407E-3</v>
      </c>
    </row>
    <row r="18" spans="2:15" s="14" customFormat="1" ht="12.75">
      <c r="B18" s="15"/>
      <c r="C18" s="16" t="s">
        <v>52</v>
      </c>
      <c r="D18" s="48" t="s">
        <v>53</v>
      </c>
      <c r="E18" s="48"/>
      <c r="F18" s="48"/>
      <c r="G18" s="48"/>
      <c r="H18" s="48"/>
      <c r="I18" s="48"/>
      <c r="J18" s="48"/>
      <c r="K18" s="48"/>
      <c r="L18" s="48"/>
      <c r="M18" s="48"/>
      <c r="N18" s="49"/>
      <c r="O18" s="29"/>
    </row>
    <row r="19" spans="2:15" ht="25.5">
      <c r="B19" s="17">
        <v>11</v>
      </c>
      <c r="C19" s="18" t="s">
        <v>54</v>
      </c>
      <c r="D19" s="19" t="s">
        <v>55</v>
      </c>
      <c r="E19" s="19" t="s">
        <v>56</v>
      </c>
      <c r="F19" s="20">
        <v>0.3</v>
      </c>
      <c r="G19" s="21">
        <v>0.2</v>
      </c>
      <c r="H19" s="22">
        <f>F19 * G19 * 58708.137087</f>
        <v>3522.48822522</v>
      </c>
      <c r="I19" s="22">
        <f>F19 * G19 * 70612.033515</f>
        <v>4236.7220109</v>
      </c>
      <c r="J19" s="22">
        <f>F19 * G19 * 2733.912984</f>
        <v>164.03477903999999</v>
      </c>
      <c r="K19" s="22">
        <f>F19 * G19 * 58248.696484</f>
        <v>3494.92178904</v>
      </c>
      <c r="L19" s="22">
        <f>F19 * G19 * 21367.959575</f>
        <v>1282.0775745000001</v>
      </c>
      <c r="M19" s="22">
        <f>F19 * G19 * 12237.12111</f>
        <v>734.22726660000001</v>
      </c>
      <c r="N19" s="26">
        <f>SUM(H19:M19)</f>
        <v>13434.471645300002</v>
      </c>
      <c r="O19" s="30">
        <v>0.30731246329261602</v>
      </c>
    </row>
    <row r="20" spans="2:15">
      <c r="B20" s="17">
        <v>12</v>
      </c>
      <c r="C20" s="18" t="s">
        <v>57</v>
      </c>
      <c r="D20" s="19" t="s">
        <v>58</v>
      </c>
      <c r="E20" s="19" t="s">
        <v>59</v>
      </c>
      <c r="F20" s="20">
        <v>18</v>
      </c>
      <c r="G20" s="21">
        <v>1</v>
      </c>
      <c r="H20" s="22">
        <f>F20 * G20 * 98.639032</f>
        <v>1775.5025760000001</v>
      </c>
      <c r="I20" s="22">
        <f>F20 * G20 * 157.771984</f>
        <v>2839.895712</v>
      </c>
      <c r="J20" s="22">
        <f>F20 * G20 * 0</f>
        <v>0</v>
      </c>
      <c r="K20" s="22">
        <f>F20 * G20 * 93.904359</f>
        <v>1690.278462</v>
      </c>
      <c r="L20" s="22">
        <f>F20 * G20 * 39.039556</f>
        <v>702.71200799999997</v>
      </c>
      <c r="M20" s="22">
        <f>F20 * G20 * 19.727806</f>
        <v>355.10050799999999</v>
      </c>
      <c r="N20" s="26">
        <f>SUM(H20:M20)</f>
        <v>7363.4892660000005</v>
      </c>
      <c r="O20" s="30">
        <v>0.16843922742245401</v>
      </c>
    </row>
    <row r="21" spans="2:15" s="11" customFormat="1" ht="15">
      <c r="B21" s="12"/>
      <c r="C21" s="13" t="s">
        <v>60</v>
      </c>
      <c r="D21" s="46" t="s">
        <v>61</v>
      </c>
      <c r="E21" s="46"/>
      <c r="F21" s="46"/>
      <c r="G21" s="46"/>
      <c r="H21" s="46"/>
      <c r="I21" s="46"/>
      <c r="J21" s="46"/>
      <c r="K21" s="46"/>
      <c r="L21" s="46"/>
      <c r="M21" s="46"/>
      <c r="N21" s="47"/>
      <c r="O21" s="28"/>
    </row>
    <row r="22" spans="2:15" s="14" customFormat="1" ht="12.75">
      <c r="B22" s="15"/>
      <c r="C22" s="16" t="s">
        <v>62</v>
      </c>
      <c r="D22" s="48" t="s">
        <v>63</v>
      </c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29"/>
    </row>
    <row r="23" spans="2:15" s="14" customFormat="1" ht="12.75">
      <c r="B23" s="15"/>
      <c r="C23" s="16" t="s">
        <v>64</v>
      </c>
      <c r="D23" s="50" t="s">
        <v>65</v>
      </c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31"/>
    </row>
    <row r="24" spans="2:15" ht="38.25">
      <c r="B24" s="17">
        <v>13</v>
      </c>
      <c r="C24" s="18" t="s">
        <v>66</v>
      </c>
      <c r="D24" s="19" t="s">
        <v>67</v>
      </c>
      <c r="E24" s="19" t="s">
        <v>68</v>
      </c>
      <c r="F24" s="20">
        <v>3.3029999999999999</v>
      </c>
      <c r="G24" s="21">
        <v>0.1</v>
      </c>
      <c r="H24" s="22">
        <f>F24 * G24 * 34349.95026</f>
        <v>11345.788570878001</v>
      </c>
      <c r="I24" s="22">
        <f>F24 * G24 * 10291.960097</f>
        <v>3399.4344200391001</v>
      </c>
      <c r="J24" s="22">
        <f>F24 * G24 * 13049.52</f>
        <v>4310.256456000001</v>
      </c>
      <c r="K24" s="22">
        <f>F24 * G24 * 32701.152648</f>
        <v>10801.190719634402</v>
      </c>
      <c r="L24" s="22">
        <f>F24 * G24 * 10261.201457</f>
        <v>3389.2748412471001</v>
      </c>
      <c r="M24" s="22">
        <f>F24 * G24 * 6869.990052</f>
        <v>2269.1577141756002</v>
      </c>
      <c r="N24" s="26">
        <f>SUM(H24:M24)</f>
        <v>35515.102721974203</v>
      </c>
      <c r="O24" s="30">
        <v>0.81240513134720016</v>
      </c>
    </row>
    <row r="25" spans="2:15" s="14" customFormat="1" ht="12.75">
      <c r="B25" s="15"/>
      <c r="C25" s="16" t="s">
        <v>69</v>
      </c>
      <c r="D25" s="48" t="s">
        <v>70</v>
      </c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29"/>
    </row>
    <row r="26" spans="2:15" s="14" customFormat="1" ht="12.75">
      <c r="B26" s="15"/>
      <c r="C26" s="16" t="s">
        <v>71</v>
      </c>
      <c r="D26" s="50" t="s">
        <v>72</v>
      </c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31"/>
    </row>
    <row r="27" spans="2:15" ht="25.5">
      <c r="B27" s="17">
        <v>14</v>
      </c>
      <c r="C27" s="18" t="s">
        <v>73</v>
      </c>
      <c r="D27" s="19" t="s">
        <v>74</v>
      </c>
      <c r="E27" s="19" t="s">
        <v>75</v>
      </c>
      <c r="F27" s="20">
        <v>1.8</v>
      </c>
      <c r="G27" s="21">
        <v>1</v>
      </c>
      <c r="H27" s="22">
        <f>F27 * G27 * 2358.696585</f>
        <v>4245.6538530000007</v>
      </c>
      <c r="I27" s="22">
        <f>F27 * G27 * 2330.556965</f>
        <v>4195.0025370000003</v>
      </c>
      <c r="J27" s="22">
        <f>F27 * G27 * 0</f>
        <v>0</v>
      </c>
      <c r="K27" s="22">
        <f>F27 * G27 * 2245.479149</f>
        <v>4041.8624681999995</v>
      </c>
      <c r="L27" s="22">
        <f>F27 * G27 * 781.382798</f>
        <v>1406.4890364</v>
      </c>
      <c r="M27" s="22">
        <f>F27 * G27 * 471.739317</f>
        <v>849.13077060000012</v>
      </c>
      <c r="N27" s="26">
        <f>SUM(H27:M27)</f>
        <v>14738.1386652</v>
      </c>
      <c r="O27" s="30">
        <v>0.33713374199835305</v>
      </c>
    </row>
    <row r="28" spans="2:15" ht="25.5">
      <c r="B28" s="17">
        <v>15</v>
      </c>
      <c r="C28" s="18" t="s">
        <v>76</v>
      </c>
      <c r="D28" s="19" t="s">
        <v>77</v>
      </c>
      <c r="E28" s="19" t="s">
        <v>75</v>
      </c>
      <c r="F28" s="20">
        <v>1.8</v>
      </c>
      <c r="G28" s="21">
        <v>1</v>
      </c>
      <c r="H28" s="22">
        <f>F28 * G28 * 1144.998342</f>
        <v>2060.9970156000004</v>
      </c>
      <c r="I28" s="22">
        <f>F28 * G28 * 2330.556965</f>
        <v>4195.0025370000003</v>
      </c>
      <c r="J28" s="22">
        <f>F28 * G28 * 0</f>
        <v>0</v>
      </c>
      <c r="K28" s="22">
        <f>F28 * G28 * 1090.038421</f>
        <v>1962.0691578000001</v>
      </c>
      <c r="L28" s="22">
        <f>F28 * G28 * 505.829602999999</f>
        <v>910.49328539999817</v>
      </c>
      <c r="M28" s="22">
        <f>F28 * G28 * 228.999668</f>
        <v>412.19940240000005</v>
      </c>
      <c r="N28" s="26">
        <f>SUM(H28:M28)</f>
        <v>9540.7613981999984</v>
      </c>
      <c r="O28" s="30">
        <v>0.21824415312928902</v>
      </c>
    </row>
    <row r="29" spans="2:15" s="14" customFormat="1" ht="12.75">
      <c r="B29" s="15"/>
      <c r="C29" s="16" t="s">
        <v>78</v>
      </c>
      <c r="D29" s="48" t="s">
        <v>79</v>
      </c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29"/>
    </row>
    <row r="30" spans="2:15" s="14" customFormat="1" ht="12.75">
      <c r="B30" s="15"/>
      <c r="C30" s="16" t="s">
        <v>80</v>
      </c>
      <c r="D30" s="50" t="s">
        <v>81</v>
      </c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31"/>
    </row>
    <row r="31" spans="2:15" ht="25.5">
      <c r="B31" s="17">
        <v>16</v>
      </c>
      <c r="C31" s="18" t="s">
        <v>82</v>
      </c>
      <c r="D31" s="19" t="s">
        <v>83</v>
      </c>
      <c r="E31" s="19" t="s">
        <v>84</v>
      </c>
      <c r="F31" s="20">
        <v>3.3090000000000002</v>
      </c>
      <c r="G31" s="21">
        <v>0.1</v>
      </c>
      <c r="H31" s="22">
        <f>F31 * G31 * 2685.071675</f>
        <v>888.49021725750015</v>
      </c>
      <c r="I31" s="22">
        <f>F31 * G31 * 1292.442161</f>
        <v>427.6691110749</v>
      </c>
      <c r="J31" s="22">
        <f>F31 * G31 * 1087.46</f>
        <v>359.84051400000004</v>
      </c>
      <c r="K31" s="22">
        <f>F31 * G31 * 2556.188235</f>
        <v>845.84268696150014</v>
      </c>
      <c r="L31" s="22">
        <f>F31 * G31 * 860.687611</f>
        <v>284.80153047990001</v>
      </c>
      <c r="M31" s="22">
        <f>F31 * G31 * 537.014335</f>
        <v>177.69804345150001</v>
      </c>
      <c r="N31" s="26">
        <f>SUM(H31:M31)</f>
        <v>2984.3421032253</v>
      </c>
      <c r="O31" s="30">
        <v>6.8266586678225369E-2</v>
      </c>
    </row>
    <row r="32" spans="2:15" s="14" customFormat="1" ht="12.75">
      <c r="B32" s="15"/>
      <c r="C32" s="16" t="s">
        <v>85</v>
      </c>
      <c r="D32" s="48" t="s">
        <v>86</v>
      </c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29"/>
    </row>
    <row r="33" spans="2:15" s="14" customFormat="1" ht="12.75">
      <c r="B33" s="15"/>
      <c r="C33" s="16" t="s">
        <v>87</v>
      </c>
      <c r="D33" s="50" t="s">
        <v>88</v>
      </c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31"/>
    </row>
    <row r="34" spans="2:15" ht="25.5">
      <c r="B34" s="17">
        <v>17</v>
      </c>
      <c r="C34" s="18" t="s">
        <v>89</v>
      </c>
      <c r="D34" s="19" t="s">
        <v>90</v>
      </c>
      <c r="E34" s="19" t="s">
        <v>91</v>
      </c>
      <c r="F34" s="20">
        <v>8.3369999999999997</v>
      </c>
      <c r="G34" s="21">
        <v>0.2</v>
      </c>
      <c r="H34" s="22">
        <f>F34 * G34 * 9443.897179</f>
        <v>15746.7541562646</v>
      </c>
      <c r="I34" s="22">
        <f>F34 * G34 * 2258.259862</f>
        <v>3765.4224938988</v>
      </c>
      <c r="J34" s="22">
        <f>F34 * G34 * 0</f>
        <v>0</v>
      </c>
      <c r="K34" s="22">
        <f>F34 * G34 * 8990.590114</f>
        <v>14990.9099560836</v>
      </c>
      <c r="L34" s="22">
        <f>F34 * G34 * 2382.35105499999</f>
        <v>3972.3321491069833</v>
      </c>
      <c r="M34" s="22">
        <f>F34 * G34 * 1888.779436</f>
        <v>3149.3508315864001</v>
      </c>
      <c r="N34" s="26">
        <f>SUM(H34:M34)</f>
        <v>41624.769586940383</v>
      </c>
      <c r="O34" s="30">
        <v>0.95216327172981019</v>
      </c>
    </row>
    <row r="35" spans="2:15" s="14" customFormat="1" ht="12.75">
      <c r="B35" s="15"/>
      <c r="C35" s="16" t="s">
        <v>92</v>
      </c>
      <c r="D35" s="50" t="s">
        <v>93</v>
      </c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31"/>
    </row>
    <row r="36" spans="2:15" ht="38.25">
      <c r="B36" s="17">
        <v>18</v>
      </c>
      <c r="C36" s="18" t="s">
        <v>94</v>
      </c>
      <c r="D36" s="19" t="s">
        <v>95</v>
      </c>
      <c r="E36" s="19" t="s">
        <v>96</v>
      </c>
      <c r="F36" s="20">
        <v>10.475999999999999</v>
      </c>
      <c r="G36" s="21">
        <v>0.2</v>
      </c>
      <c r="H36" s="22">
        <f>F36 * G36 * 6250.762095</f>
        <v>13096.596741443998</v>
      </c>
      <c r="I36" s="22">
        <f>F36 * G36 * 13630.595236</f>
        <v>28558.823138467196</v>
      </c>
      <c r="J36" s="22">
        <f>F36 * G36 * 0</f>
        <v>0</v>
      </c>
      <c r="K36" s="22">
        <f>F36 * G36 * 5950.725515</f>
        <v>12467.960099027998</v>
      </c>
      <c r="L36" s="22">
        <f>F36 * G36 * 2857.17582</f>
        <v>5986.3547780639992</v>
      </c>
      <c r="M36" s="22">
        <f>F36 * G36 * 1250.152419</f>
        <v>2619.3193482887996</v>
      </c>
      <c r="N36" s="26">
        <f>SUM(H36:M36)</f>
        <v>62729.054105291994</v>
      </c>
      <c r="O36" s="30">
        <v>1.4349220904312379</v>
      </c>
    </row>
    <row r="37" spans="2:15" s="14" customFormat="1" ht="12.75">
      <c r="B37" s="15"/>
      <c r="C37" s="16" t="s">
        <v>97</v>
      </c>
      <c r="D37" s="48" t="s">
        <v>98</v>
      </c>
      <c r="E37" s="48"/>
      <c r="F37" s="48"/>
      <c r="G37" s="48"/>
      <c r="H37" s="48"/>
      <c r="I37" s="48"/>
      <c r="J37" s="48"/>
      <c r="K37" s="48"/>
      <c r="L37" s="48"/>
      <c r="M37" s="48"/>
      <c r="N37" s="49"/>
      <c r="O37" s="29"/>
    </row>
    <row r="38" spans="2:15" ht="25.5">
      <c r="B38" s="17">
        <v>19</v>
      </c>
      <c r="C38" s="18" t="s">
        <v>99</v>
      </c>
      <c r="D38" s="19" t="s">
        <v>100</v>
      </c>
      <c r="E38" s="19" t="s">
        <v>101</v>
      </c>
      <c r="F38" s="20">
        <v>0.41099999999999998</v>
      </c>
      <c r="G38" s="21">
        <v>0.2</v>
      </c>
      <c r="H38" s="22">
        <f>F38 * G38 * 45799.93368</f>
        <v>3764.7545484960001</v>
      </c>
      <c r="I38" s="22">
        <f>F38 * G38 * 27288.920963</f>
        <v>2243.1493031586001</v>
      </c>
      <c r="J38" s="22">
        <f>F38 * G38 * 0</f>
        <v>0</v>
      </c>
      <c r="K38" s="22">
        <f>F38 * G38 * 43601.536863</f>
        <v>3584.0463301385998</v>
      </c>
      <c r="L38" s="22">
        <f>F38 * G38 * 13277.214904</f>
        <v>1091.3870651088</v>
      </c>
      <c r="M38" s="22">
        <f>F38 * G38 * 9159.986736</f>
        <v>752.9509096992</v>
      </c>
      <c r="N38" s="26">
        <f>SUM(H38:M38)</f>
        <v>11436.2881566012</v>
      </c>
      <c r="O38" s="30">
        <v>0.26160417596763658</v>
      </c>
    </row>
    <row r="39" spans="2:15">
      <c r="B39" s="17">
        <v>20</v>
      </c>
      <c r="C39" s="18" t="s">
        <v>102</v>
      </c>
      <c r="D39" s="19" t="s">
        <v>103</v>
      </c>
      <c r="E39" s="19" t="s">
        <v>104</v>
      </c>
      <c r="F39" s="20">
        <v>4.1040000000000001</v>
      </c>
      <c r="G39" s="21">
        <v>0.2</v>
      </c>
      <c r="H39" s="22">
        <f>F39 * G39 * 6868.288858</f>
        <v>5637.4914946464005</v>
      </c>
      <c r="I39" s="22">
        <f>F39 * G39 * 167.041098</f>
        <v>137.10733323840003</v>
      </c>
      <c r="J39" s="22">
        <f>F39 * G39 * 0</f>
        <v>0</v>
      </c>
      <c r="K39" s="22">
        <f>F39 * G39 * 6538.610993</f>
        <v>5366.8919030544012</v>
      </c>
      <c r="L39" s="22">
        <f>F39 * G39 * 1576.971665</f>
        <v>1294.3783426320001</v>
      </c>
      <c r="M39" s="22">
        <f>F39 * G39 * 1373.657772</f>
        <v>1127.4982992576001</v>
      </c>
      <c r="N39" s="26">
        <f>SUM(H39:M39)</f>
        <v>13563.367372828803</v>
      </c>
      <c r="O39" s="30">
        <v>0.31026094274015931</v>
      </c>
    </row>
    <row r="40" spans="2:15" ht="25.5">
      <c r="B40" s="17">
        <v>21</v>
      </c>
      <c r="C40" s="18" t="s">
        <v>105</v>
      </c>
      <c r="D40" s="19" t="s">
        <v>106</v>
      </c>
      <c r="E40" s="19" t="s">
        <v>104</v>
      </c>
      <c r="F40" s="20">
        <v>4.1040000000000001</v>
      </c>
      <c r="G40" s="21">
        <v>0.2</v>
      </c>
      <c r="H40" s="22">
        <f>F40 * G40 * 3434.144429</f>
        <v>2818.7457473232002</v>
      </c>
      <c r="I40" s="22">
        <f>F40 * G40 * 1053.975189</f>
        <v>865.1028351312001</v>
      </c>
      <c r="J40" s="22">
        <f>F40 * G40 * 0</f>
        <v>0</v>
      </c>
      <c r="K40" s="22">
        <f>F40 * G40 * 3269.305497</f>
        <v>2683.4459519376001</v>
      </c>
      <c r="L40" s="22">
        <f>F40 * G40 * 890.868797</f>
        <v>731.22510857760005</v>
      </c>
      <c r="M40" s="22">
        <f>F40 * G40 * 686.828886</f>
        <v>563.74914962880007</v>
      </c>
      <c r="N40" s="26">
        <f>SUM(H40:M40)</f>
        <v>7662.2687925984001</v>
      </c>
      <c r="O40" s="30">
        <v>0.1752737851724403</v>
      </c>
    </row>
    <row r="41" spans="2:15" ht="25.5">
      <c r="B41" s="17">
        <v>22</v>
      </c>
      <c r="C41" s="18" t="s">
        <v>107</v>
      </c>
      <c r="D41" s="19" t="s">
        <v>108</v>
      </c>
      <c r="E41" s="19" t="s">
        <v>109</v>
      </c>
      <c r="F41" s="20">
        <v>72</v>
      </c>
      <c r="G41" s="21">
        <v>0.2</v>
      </c>
      <c r="H41" s="22">
        <f>F41 * G41 * 160.657019</f>
        <v>2313.4610736</v>
      </c>
      <c r="I41" s="22">
        <f>F41 * G41 * 3486.691414</f>
        <v>50208.356361600003</v>
      </c>
      <c r="J41" s="22">
        <f>F41 * G41 * 0.049104</f>
        <v>0.70709759999999999</v>
      </c>
      <c r="K41" s="22">
        <f>F41 * G41 * 152.945482</f>
        <v>2202.4149407999998</v>
      </c>
      <c r="L41" s="22">
        <f>F41 * G41 * 404.326052</f>
        <v>5822.2951487999999</v>
      </c>
      <c r="M41" s="22">
        <f>F41 * G41 * 32.131404</f>
        <v>462.69221760000005</v>
      </c>
      <c r="N41" s="26">
        <f>SUM(H41:M41)</f>
        <v>61009.926840000007</v>
      </c>
      <c r="O41" s="30">
        <v>1.3955971918748287</v>
      </c>
    </row>
    <row r="42" spans="2:15" s="11" customFormat="1" ht="15">
      <c r="B42" s="12"/>
      <c r="C42" s="13" t="s">
        <v>110</v>
      </c>
      <c r="D42" s="46" t="s">
        <v>111</v>
      </c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28"/>
    </row>
    <row r="43" spans="2:15" s="14" customFormat="1" ht="12.75">
      <c r="B43" s="15"/>
      <c r="C43" s="16" t="s">
        <v>112</v>
      </c>
      <c r="D43" s="48" t="s">
        <v>113</v>
      </c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29"/>
    </row>
    <row r="44" spans="2:15">
      <c r="B44" s="17">
        <v>23</v>
      </c>
      <c r="C44" s="18" t="s">
        <v>114</v>
      </c>
      <c r="D44" s="19" t="s">
        <v>115</v>
      </c>
      <c r="E44" s="19" t="s">
        <v>116</v>
      </c>
      <c r="F44" s="20">
        <v>2.16</v>
      </c>
      <c r="G44" s="21">
        <v>0.1</v>
      </c>
      <c r="H44" s="22">
        <f>F44 * G44 * 8272.227889</f>
        <v>1786.8012240240002</v>
      </c>
      <c r="I44" s="22">
        <f>F44 * G44 * 10289.796337</f>
        <v>2222.5960087920002</v>
      </c>
      <c r="J44" s="22">
        <f>F44 * G44 * 0</f>
        <v>0</v>
      </c>
      <c r="K44" s="22">
        <f>F44 * G44 * 7875.16094999999</f>
        <v>1701.0347651999982</v>
      </c>
      <c r="L44" s="22">
        <f>F44 * G44 * 2963.667045</f>
        <v>640.15208172000007</v>
      </c>
      <c r="M44" s="22">
        <f>F44 * G44 * 1654.445578</f>
        <v>357.36024484800004</v>
      </c>
      <c r="N44" s="26">
        <f>SUM(H44:M44)</f>
        <v>6707.9443245839984</v>
      </c>
      <c r="O44" s="30">
        <v>0.15344368937194616</v>
      </c>
    </row>
    <row r="45" spans="2:15">
      <c r="B45" s="17">
        <v>24</v>
      </c>
      <c r="C45" s="18" t="s">
        <v>117</v>
      </c>
      <c r="D45" s="19" t="s">
        <v>118</v>
      </c>
      <c r="E45" s="19" t="s">
        <v>119</v>
      </c>
      <c r="F45" s="20">
        <v>15.6</v>
      </c>
      <c r="G45" s="21">
        <v>0.1</v>
      </c>
      <c r="H45" s="22">
        <f>F45 * G45 * 842.915362</f>
        <v>1314.9479647200001</v>
      </c>
      <c r="I45" s="22">
        <f>F45 * G45 * 1212.173519</f>
        <v>1890.99068964</v>
      </c>
      <c r="J45" s="22">
        <f>F45 * G45 * 0</f>
        <v>0</v>
      </c>
      <c r="K45" s="22">
        <f>F45 * G45 * 802.455424</f>
        <v>1251.8304614400001</v>
      </c>
      <c r="L45" s="22">
        <f>F45 * G45 * 319.256438</f>
        <v>498.04004328000002</v>
      </c>
      <c r="M45" s="22">
        <f>F45 * G45 * 168.583072</f>
        <v>262.98959231999999</v>
      </c>
      <c r="N45" s="26">
        <f>SUM(H45:M45)</f>
        <v>5218.7987514000006</v>
      </c>
      <c r="O45" s="30">
        <v>0.11937960360966238</v>
      </c>
    </row>
    <row r="46" spans="2:15" ht="25.5">
      <c r="B46" s="17">
        <v>25</v>
      </c>
      <c r="C46" s="18" t="s">
        <v>120</v>
      </c>
      <c r="D46" s="19" t="s">
        <v>121</v>
      </c>
      <c r="E46" s="19" t="s">
        <v>122</v>
      </c>
      <c r="F46" s="20">
        <v>28.463999999999999</v>
      </c>
      <c r="G46" s="21">
        <v>0.1</v>
      </c>
      <c r="H46" s="22">
        <f>F46 * G46 * 1098.480126</f>
        <v>3126.7138306463999</v>
      </c>
      <c r="I46" s="22">
        <f>F46 * G46 * 2544.732908</f>
        <v>7243.3277493311998</v>
      </c>
      <c r="J46" s="22">
        <f>F46 * G46 * 0</f>
        <v>0</v>
      </c>
      <c r="K46" s="22">
        <f>F46 * G46 * 1045.75308</f>
        <v>2976.6315669119999</v>
      </c>
      <c r="L46" s="22">
        <f>F46 * G46 * 517.863855999999</f>
        <v>1474.0476797183974</v>
      </c>
      <c r="M46" s="22">
        <f>F46 * G46 * 219.696025</f>
        <v>625.34276555999998</v>
      </c>
      <c r="N46" s="26">
        <f>SUM(H46:M46)</f>
        <v>15446.063592167999</v>
      </c>
      <c r="O46" s="30">
        <v>0.35332746802470488</v>
      </c>
    </row>
    <row r="47" spans="2:15" s="14" customFormat="1" ht="12.75">
      <c r="B47" s="15"/>
      <c r="C47" s="16" t="s">
        <v>123</v>
      </c>
      <c r="D47" s="48" t="s">
        <v>124</v>
      </c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29"/>
    </row>
    <row r="48" spans="2:15" ht="38.25">
      <c r="B48" s="17">
        <v>26</v>
      </c>
      <c r="C48" s="18" t="s">
        <v>125</v>
      </c>
      <c r="D48" s="19" t="s">
        <v>126</v>
      </c>
      <c r="E48" s="19" t="s">
        <v>127</v>
      </c>
      <c r="F48" s="20">
        <v>0.16500000000000001</v>
      </c>
      <c r="G48" s="21">
        <v>0.1</v>
      </c>
      <c r="H48" s="22">
        <f>F48 * G48 * 58062.520958</f>
        <v>958.03159580700003</v>
      </c>
      <c r="I48" s="22">
        <f>F48 * G48 * 797288.587616</f>
        <v>13155.261695663999</v>
      </c>
      <c r="J48" s="22">
        <f>F48 * G48 * 0</f>
        <v>0</v>
      </c>
      <c r="K48" s="22">
        <f>F48 * G48 * 55275.519952</f>
        <v>912.04607920800004</v>
      </c>
      <c r="L48" s="22">
        <f>F48 * G48 * 97296.228502</f>
        <v>1605.387770283</v>
      </c>
      <c r="M48" s="22">
        <f>F48 * G48 * 11612.504192</f>
        <v>191.60631916800003</v>
      </c>
      <c r="N48" s="26">
        <f>SUM(H48:M48)</f>
        <v>16822.333460130001</v>
      </c>
      <c r="O48" s="30">
        <v>0.38480953106711507</v>
      </c>
    </row>
    <row r="49" spans="2:15">
      <c r="B49" s="17">
        <v>27</v>
      </c>
      <c r="C49" s="18" t="s">
        <v>128</v>
      </c>
      <c r="D49" s="19" t="s">
        <v>129</v>
      </c>
      <c r="E49" s="19" t="s">
        <v>127</v>
      </c>
      <c r="F49" s="20">
        <v>9.6000000000000002E-2</v>
      </c>
      <c r="G49" s="21">
        <v>0.2</v>
      </c>
      <c r="H49" s="22">
        <f>F49 * G49 * 262290.152592</f>
        <v>5035.9709297664012</v>
      </c>
      <c r="I49" s="22">
        <f>F49 * G49 * 80150.832001</f>
        <v>1538.8959744192002</v>
      </c>
      <c r="J49" s="22">
        <f>F49 * G49 * 0</f>
        <v>0</v>
      </c>
      <c r="K49" s="22">
        <f>F49 * G49 * 249700.225267999</f>
        <v>4794.2443251455807</v>
      </c>
      <c r="L49" s="22">
        <f>F49 * G49 * 68005.21986</f>
        <v>1305.7002213120002</v>
      </c>
      <c r="M49" s="22">
        <f>F49 * G49 * 52458.030518</f>
        <v>1007.1941859456001</v>
      </c>
      <c r="N49" s="26">
        <f>SUM(H49:M49)</f>
        <v>13682.005636588781</v>
      </c>
      <c r="O49" s="30">
        <v>0.31297478352522606</v>
      </c>
    </row>
    <row r="50" spans="2:15" s="14" customFormat="1" ht="12.75">
      <c r="B50" s="15"/>
      <c r="C50" s="16" t="s">
        <v>130</v>
      </c>
      <c r="D50" s="48" t="s">
        <v>131</v>
      </c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29"/>
    </row>
    <row r="51" spans="2:15">
      <c r="B51" s="17">
        <v>28</v>
      </c>
      <c r="C51" s="18" t="s">
        <v>132</v>
      </c>
      <c r="D51" s="19" t="s">
        <v>133</v>
      </c>
      <c r="E51" s="19" t="s">
        <v>134</v>
      </c>
      <c r="F51" s="20">
        <v>3</v>
      </c>
      <c r="G51" s="21">
        <v>1</v>
      </c>
      <c r="H51" s="22">
        <f>F51 * G51 * 134.507771</f>
        <v>403.52331299999997</v>
      </c>
      <c r="I51" s="22">
        <f>F51 * G51 * 32.873905</f>
        <v>98.621714999999995</v>
      </c>
      <c r="J51" s="22">
        <f>F51 * G51 * 0</f>
        <v>0</v>
      </c>
      <c r="K51" s="22">
        <f>F51 * G51 * 128.051398</f>
        <v>384.15419400000002</v>
      </c>
      <c r="L51" s="22">
        <f>F51 * G51 * 34.006303</f>
        <v>102.01890900000001</v>
      </c>
      <c r="M51" s="22">
        <f>F51 * G51 * 26.901554</f>
        <v>80.704661999999999</v>
      </c>
      <c r="N51" s="26">
        <f>SUM(H51:M51)</f>
        <v>1069.0227930000001</v>
      </c>
      <c r="O51" s="30">
        <v>2.4453810801537194E-2</v>
      </c>
    </row>
    <row r="52" spans="2:15" s="14" customFormat="1" ht="12.75">
      <c r="B52" s="15"/>
      <c r="C52" s="16" t="s">
        <v>135</v>
      </c>
      <c r="D52" s="48" t="s">
        <v>136</v>
      </c>
      <c r="E52" s="48"/>
      <c r="F52" s="48"/>
      <c r="G52" s="48"/>
      <c r="H52" s="48"/>
      <c r="I52" s="48"/>
      <c r="J52" s="48"/>
      <c r="K52" s="48"/>
      <c r="L52" s="48"/>
      <c r="M52" s="48"/>
      <c r="N52" s="49"/>
      <c r="O52" s="29"/>
    </row>
    <row r="53" spans="2:15" ht="25.5">
      <c r="B53" s="17">
        <v>29</v>
      </c>
      <c r="C53" s="18" t="s">
        <v>137</v>
      </c>
      <c r="D53" s="19" t="s">
        <v>138</v>
      </c>
      <c r="E53" s="19" t="s">
        <v>127</v>
      </c>
      <c r="F53" s="20">
        <v>2.7</v>
      </c>
      <c r="G53" s="21">
        <v>0.1</v>
      </c>
      <c r="H53" s="22">
        <f>F53 * G53 * 8360.082105</f>
        <v>2257.2221683500002</v>
      </c>
      <c r="I53" s="22">
        <f>F53 * G53 * 1851.6181</f>
        <v>499.93688700000001</v>
      </c>
      <c r="J53" s="22">
        <f>F53 * G53 * 0</f>
        <v>0</v>
      </c>
      <c r="K53" s="22">
        <f>F53 * G53 * 7958.798164</f>
        <v>2148.8755042800003</v>
      </c>
      <c r="L53" s="22">
        <f>F53 * G53 * 2093.38531</f>
        <v>565.21403370000007</v>
      </c>
      <c r="M53" s="22">
        <f>F53 * G53 * 1672.016421</f>
        <v>451.44443367000002</v>
      </c>
      <c r="N53" s="26">
        <f>SUM(H53:M53)</f>
        <v>5922.6930270000003</v>
      </c>
      <c r="O53" s="30">
        <v>0.13548112880867416</v>
      </c>
    </row>
    <row r="54" spans="2:15" s="11" customFormat="1" ht="15">
      <c r="B54" s="12"/>
      <c r="C54" s="13" t="s">
        <v>139</v>
      </c>
      <c r="D54" s="46" t="s">
        <v>140</v>
      </c>
      <c r="E54" s="46"/>
      <c r="F54" s="46"/>
      <c r="G54" s="46"/>
      <c r="H54" s="46"/>
      <c r="I54" s="46"/>
      <c r="J54" s="46"/>
      <c r="K54" s="46"/>
      <c r="L54" s="46"/>
      <c r="M54" s="46"/>
      <c r="N54" s="47"/>
      <c r="O54" s="28"/>
    </row>
    <row r="55" spans="2:15" s="14" customFormat="1" ht="12.75">
      <c r="B55" s="15"/>
      <c r="C55" s="16" t="s">
        <v>141</v>
      </c>
      <c r="D55" s="48" t="s">
        <v>142</v>
      </c>
      <c r="E55" s="48"/>
      <c r="F55" s="48"/>
      <c r="G55" s="48"/>
      <c r="H55" s="48"/>
      <c r="I55" s="48"/>
      <c r="J55" s="48"/>
      <c r="K55" s="48"/>
      <c r="L55" s="48"/>
      <c r="M55" s="48"/>
      <c r="N55" s="49"/>
      <c r="O55" s="29"/>
    </row>
    <row r="56" spans="2:15">
      <c r="B56" s="17">
        <v>30</v>
      </c>
      <c r="C56" s="18" t="s">
        <v>143</v>
      </c>
      <c r="D56" s="19" t="s">
        <v>144</v>
      </c>
      <c r="E56" s="19" t="s">
        <v>119</v>
      </c>
      <c r="F56" s="20">
        <v>27.03</v>
      </c>
      <c r="G56" s="21">
        <v>0.2</v>
      </c>
      <c r="H56" s="22">
        <f>F56 * G56 * 212.970637</f>
        <v>1151.3192636220001</v>
      </c>
      <c r="I56" s="22">
        <f>F56 * G56 * 140.059729</f>
        <v>757.1628949740001</v>
      </c>
      <c r="J56" s="22">
        <f>F56 * G56 * 0</f>
        <v>0</v>
      </c>
      <c r="K56" s="22">
        <f>F56 * G56 * 202.748046</f>
        <v>1096.0559366760001</v>
      </c>
      <c r="L56" s="22">
        <f>F56 * G56 * 63.128303</f>
        <v>341.27160601800006</v>
      </c>
      <c r="M56" s="22">
        <f>F56 * G56 * 42.594127</f>
        <v>230.26385056200002</v>
      </c>
      <c r="N56" s="26">
        <f>SUM(H56:M56)</f>
        <v>3576.0735518520005</v>
      </c>
      <c r="O56" s="30">
        <v>8.1802396190227847E-2</v>
      </c>
    </row>
    <row r="57" spans="2:15" s="14" customFormat="1" ht="12.75">
      <c r="B57" s="15"/>
      <c r="C57" s="16" t="s">
        <v>145</v>
      </c>
      <c r="D57" s="48" t="s">
        <v>146</v>
      </c>
      <c r="E57" s="48"/>
      <c r="F57" s="48"/>
      <c r="G57" s="48"/>
      <c r="H57" s="48"/>
      <c r="I57" s="48"/>
      <c r="J57" s="48"/>
      <c r="K57" s="48"/>
      <c r="L57" s="48"/>
      <c r="M57" s="48"/>
      <c r="N57" s="49"/>
      <c r="O57" s="29"/>
    </row>
    <row r="58" spans="2:15">
      <c r="B58" s="17">
        <v>31</v>
      </c>
      <c r="C58" s="18" t="s">
        <v>147</v>
      </c>
      <c r="D58" s="19" t="s">
        <v>148</v>
      </c>
      <c r="E58" s="19" t="s">
        <v>119</v>
      </c>
      <c r="F58" s="20">
        <v>27.03</v>
      </c>
      <c r="G58" s="21">
        <v>0.2</v>
      </c>
      <c r="H58" s="22">
        <f>F58 * G58 * 160.299768</f>
        <v>866.58054580800012</v>
      </c>
      <c r="I58" s="22">
        <f>F58 * G58 * 88.101763</f>
        <v>476.2781307780001</v>
      </c>
      <c r="J58" s="22">
        <f>F58 * G58 * 0</f>
        <v>0</v>
      </c>
      <c r="K58" s="22">
        <f>F58 * G58 * 152.605379</f>
        <v>824.98467887400011</v>
      </c>
      <c r="L58" s="22">
        <f>F58 * G58 * 45.688554</f>
        <v>246.99232292400004</v>
      </c>
      <c r="M58" s="22">
        <f>F58 * G58 * 32.059954</f>
        <v>173.31611132400002</v>
      </c>
      <c r="N58" s="26">
        <f>SUM(H58:M58)</f>
        <v>2588.1517897080003</v>
      </c>
      <c r="O58" s="30">
        <v>5.920376497639309E-2</v>
      </c>
    </row>
    <row r="59" spans="2:15" s="11" customFormat="1" ht="15">
      <c r="B59" s="12"/>
      <c r="C59" s="13" t="s">
        <v>149</v>
      </c>
      <c r="D59" s="46" t="s">
        <v>150</v>
      </c>
      <c r="E59" s="46"/>
      <c r="F59" s="46"/>
      <c r="G59" s="46"/>
      <c r="H59" s="46"/>
      <c r="I59" s="46"/>
      <c r="J59" s="46"/>
      <c r="K59" s="46"/>
      <c r="L59" s="46"/>
      <c r="M59" s="46"/>
      <c r="N59" s="47"/>
      <c r="O59" s="28"/>
    </row>
    <row r="60" spans="2:15" s="14" customFormat="1" ht="12.75">
      <c r="B60" s="15"/>
      <c r="C60" s="16" t="s">
        <v>151</v>
      </c>
      <c r="D60" s="48" t="s">
        <v>152</v>
      </c>
      <c r="E60" s="48"/>
      <c r="F60" s="48"/>
      <c r="G60" s="48"/>
      <c r="H60" s="48"/>
      <c r="I60" s="48"/>
      <c r="J60" s="48"/>
      <c r="K60" s="48"/>
      <c r="L60" s="48"/>
      <c r="M60" s="48"/>
      <c r="N60" s="49"/>
      <c r="O60" s="29"/>
    </row>
    <row r="61" spans="2:15" s="14" customFormat="1" ht="12.75">
      <c r="B61" s="15"/>
      <c r="C61" s="16" t="s">
        <v>153</v>
      </c>
      <c r="D61" s="50" t="s">
        <v>154</v>
      </c>
      <c r="E61" s="50"/>
      <c r="F61" s="50"/>
      <c r="G61" s="50"/>
      <c r="H61" s="50"/>
      <c r="I61" s="50"/>
      <c r="J61" s="50"/>
      <c r="K61" s="50"/>
      <c r="L61" s="50"/>
      <c r="M61" s="50"/>
      <c r="N61" s="51"/>
      <c r="O61" s="31"/>
    </row>
    <row r="62" spans="2:15">
      <c r="B62" s="17">
        <v>32</v>
      </c>
      <c r="C62" s="18" t="s">
        <v>155</v>
      </c>
      <c r="D62" s="19" t="s">
        <v>156</v>
      </c>
      <c r="E62" s="19" t="s">
        <v>157</v>
      </c>
      <c r="F62" s="20">
        <v>0.84</v>
      </c>
      <c r="G62" s="21">
        <v>1</v>
      </c>
      <c r="H62" s="22">
        <f>F62 * G62 * 4797.070499</f>
        <v>4029.5392191600004</v>
      </c>
      <c r="I62" s="22">
        <f>F62 * G62 * 62689.717848</f>
        <v>52659.362992319999</v>
      </c>
      <c r="J62" s="22">
        <f>F62 * G62 * 139.50288</f>
        <v>117.1824192</v>
      </c>
      <c r="K62" s="22">
        <f>F62 * G62 * 4619.379094</f>
        <v>3880.2784389599997</v>
      </c>
      <c r="L62" s="22">
        <f>F62 * G62 * 7724.30151599999</f>
        <v>6488.4132734399918</v>
      </c>
      <c r="M62" s="22">
        <f>F62 * G62 * 970.457793</f>
        <v>815.18454612000005</v>
      </c>
      <c r="N62" s="26">
        <f>SUM(H62:M62)</f>
        <v>67989.960889199996</v>
      </c>
      <c r="O62" s="30">
        <v>1.5552649119132582</v>
      </c>
    </row>
    <row r="63" spans="2:15" s="14" customFormat="1" ht="12.75">
      <c r="B63" s="15"/>
      <c r="C63" s="16" t="s">
        <v>158</v>
      </c>
      <c r="D63" s="48" t="s">
        <v>159</v>
      </c>
      <c r="E63" s="48"/>
      <c r="F63" s="48"/>
      <c r="G63" s="48"/>
      <c r="H63" s="48"/>
      <c r="I63" s="48"/>
      <c r="J63" s="48"/>
      <c r="K63" s="48"/>
      <c r="L63" s="48"/>
      <c r="M63" s="48"/>
      <c r="N63" s="49"/>
      <c r="O63" s="29"/>
    </row>
    <row r="64" spans="2:15" s="14" customFormat="1" ht="12.75">
      <c r="B64" s="15"/>
      <c r="C64" s="16" t="s">
        <v>160</v>
      </c>
      <c r="D64" s="50" t="s">
        <v>161</v>
      </c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31"/>
    </row>
    <row r="65" spans="2:15" ht="25.5">
      <c r="B65" s="17">
        <v>33</v>
      </c>
      <c r="C65" s="18" t="s">
        <v>162</v>
      </c>
      <c r="D65" s="19" t="s">
        <v>163</v>
      </c>
      <c r="E65" s="19" t="s">
        <v>164</v>
      </c>
      <c r="F65" s="20">
        <v>16.600000000000001</v>
      </c>
      <c r="G65" s="21">
        <v>0.1</v>
      </c>
      <c r="H65" s="22">
        <f>F65 * G65 * 9237.848513</f>
        <v>15334.828531580002</v>
      </c>
      <c r="I65" s="22">
        <f>F65 * G65 * 121690.466232</f>
        <v>202006.17394512004</v>
      </c>
      <c r="J65" s="22">
        <f>F65 * G65 * 265.656336</f>
        <v>440.98951776000007</v>
      </c>
      <c r="K65" s="22">
        <f>F65 * G65 * 8889.05414699999</f>
        <v>14755.829884019984</v>
      </c>
      <c r="L65" s="22">
        <f>F65 * G65 * 14975.774962</f>
        <v>24859.78643692</v>
      </c>
      <c r="M65" s="22">
        <f>F65 * G65 * 1867.44835</f>
        <v>3099.9642610000001</v>
      </c>
      <c r="N65" s="26">
        <f>SUM(H65:M65)</f>
        <v>260497.57257640001</v>
      </c>
      <c r="O65" s="30">
        <v>5.9588611166712413</v>
      </c>
    </row>
    <row r="66" spans="2:15" s="14" customFormat="1" ht="12.75">
      <c r="B66" s="15"/>
      <c r="C66" s="16" t="s">
        <v>165</v>
      </c>
      <c r="D66" s="48" t="s">
        <v>166</v>
      </c>
      <c r="E66" s="48"/>
      <c r="F66" s="48"/>
      <c r="G66" s="48"/>
      <c r="H66" s="48"/>
      <c r="I66" s="48"/>
      <c r="J66" s="48"/>
      <c r="K66" s="48"/>
      <c r="L66" s="48"/>
      <c r="M66" s="48"/>
      <c r="N66" s="49"/>
      <c r="O66" s="29"/>
    </row>
    <row r="67" spans="2:15" s="14" customFormat="1" ht="12.75">
      <c r="B67" s="15"/>
      <c r="C67" s="16" t="s">
        <v>167</v>
      </c>
      <c r="D67" s="50" t="s">
        <v>168</v>
      </c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31"/>
    </row>
    <row r="68" spans="2:15" ht="25.5">
      <c r="B68" s="17">
        <v>34</v>
      </c>
      <c r="C68" s="18" t="s">
        <v>169</v>
      </c>
      <c r="D68" s="19" t="s">
        <v>170</v>
      </c>
      <c r="E68" s="19" t="s">
        <v>171</v>
      </c>
      <c r="F68" s="20">
        <v>0.12</v>
      </c>
      <c r="G68" s="21">
        <v>0.1</v>
      </c>
      <c r="H68" s="22">
        <f>F68 * G68 * 41473.229256</f>
        <v>497.67875107200001</v>
      </c>
      <c r="I68" s="22">
        <f>F68 * G68 * 54570.95176</f>
        <v>654.85142112000005</v>
      </c>
      <c r="J68" s="22">
        <f>F68 * G68 * 0</f>
        <v>0</v>
      </c>
      <c r="K68" s="22">
        <f>F68 * G68 * 39482.514251</f>
        <v>473.79017101200003</v>
      </c>
      <c r="L68" s="22">
        <f>F68 * G68 * 15173.151488</f>
        <v>182.077817856</v>
      </c>
      <c r="M68" s="22">
        <f>F68 * G68 * 8294.645851</f>
        <v>99.535750211999996</v>
      </c>
      <c r="N68" s="26">
        <f>SUM(H68:M68)</f>
        <v>1907.9339112719999</v>
      </c>
      <c r="O68" s="30">
        <v>4.364383546692286E-2</v>
      </c>
    </row>
    <row r="69" spans="2:15" ht="25.5">
      <c r="B69" s="17">
        <v>35</v>
      </c>
      <c r="C69" s="18" t="s">
        <v>172</v>
      </c>
      <c r="D69" s="19" t="s">
        <v>173</v>
      </c>
      <c r="E69" s="19" t="s">
        <v>174</v>
      </c>
      <c r="F69" s="20">
        <v>1.8</v>
      </c>
      <c r="G69" s="21">
        <v>0.1</v>
      </c>
      <c r="H69" s="22">
        <f>F69 * G69 * 11433.160498</f>
        <v>2057.9688896400003</v>
      </c>
      <c r="I69" s="22">
        <f>F69 * G69 * 16197.250538</f>
        <v>2915.5050968400005</v>
      </c>
      <c r="J69" s="22">
        <f>F69 * G69 * 0</f>
        <v>0</v>
      </c>
      <c r="K69" s="22">
        <f>F69 * G69 * 10884.368794</f>
        <v>1959.1863829200001</v>
      </c>
      <c r="L69" s="22">
        <f>F69 * G69 * 4304.548959</f>
        <v>774.81881262000002</v>
      </c>
      <c r="M69" s="22">
        <f>F69 * G69 * 2286.6321</f>
        <v>411.59377799999999</v>
      </c>
      <c r="N69" s="26">
        <f>SUM(H69:M69)</f>
        <v>8119.072960020002</v>
      </c>
      <c r="O69" s="30">
        <v>0.1857231439294538</v>
      </c>
    </row>
    <row r="70" spans="2:15" s="14" customFormat="1" ht="12.75">
      <c r="B70" s="15"/>
      <c r="C70" s="16" t="s">
        <v>175</v>
      </c>
      <c r="D70" s="48" t="s">
        <v>176</v>
      </c>
      <c r="E70" s="48"/>
      <c r="F70" s="48"/>
      <c r="G70" s="48"/>
      <c r="H70" s="48"/>
      <c r="I70" s="48"/>
      <c r="J70" s="48"/>
      <c r="K70" s="48"/>
      <c r="L70" s="48"/>
      <c r="M70" s="48"/>
      <c r="N70" s="49"/>
      <c r="O70" s="29"/>
    </row>
    <row r="71" spans="2:15">
      <c r="B71" s="17">
        <v>36</v>
      </c>
      <c r="C71" s="18" t="s">
        <v>177</v>
      </c>
      <c r="D71" s="19" t="s">
        <v>178</v>
      </c>
      <c r="E71" s="19" t="s">
        <v>179</v>
      </c>
      <c r="F71" s="20">
        <v>18</v>
      </c>
      <c r="G71" s="21">
        <v>1</v>
      </c>
      <c r="H71" s="22">
        <f>F71 * G71 * 403.523312</f>
        <v>7263.4196159999992</v>
      </c>
      <c r="I71" s="22">
        <f>F71 * G71 * 119.395596</f>
        <v>2149.1207279999999</v>
      </c>
      <c r="J71" s="22">
        <f>F71 * G71 * 0</f>
        <v>0</v>
      </c>
      <c r="K71" s="22">
        <f>F71 * G71 * 384.154192999999</f>
        <v>6914.7754739999818</v>
      </c>
      <c r="L71" s="22">
        <f>F71 * G71 * 104.210554</f>
        <v>1875.789972</v>
      </c>
      <c r="M71" s="22">
        <f>F71 * G71 * 80.704662</f>
        <v>1452.683916</v>
      </c>
      <c r="N71" s="26">
        <f>SUM(H71:M71)</f>
        <v>19655.789705999981</v>
      </c>
      <c r="O71" s="30">
        <v>0.44962461583859414</v>
      </c>
    </row>
    <row r="72" spans="2:15">
      <c r="B72" s="17">
        <v>37</v>
      </c>
      <c r="C72" s="18" t="s">
        <v>180</v>
      </c>
      <c r="D72" s="19" t="s">
        <v>181</v>
      </c>
      <c r="E72" s="19" t="s">
        <v>182</v>
      </c>
      <c r="F72" s="20">
        <v>0.23400000000000001</v>
      </c>
      <c r="G72" s="21">
        <v>0.1</v>
      </c>
      <c r="H72" s="22">
        <f>F72 * G72 * 32099.905181</f>
        <v>751.1377812354001</v>
      </c>
      <c r="I72" s="22">
        <f>F72 * G72 * 9512.934194</f>
        <v>222.60266013960003</v>
      </c>
      <c r="J72" s="22">
        <f>F72 * G72 * 8.5184</f>
        <v>0.19933056000000002</v>
      </c>
      <c r="K72" s="22">
        <f>F72 * G72 * 30559.1097329999</f>
        <v>715.08316775219782</v>
      </c>
      <c r="L72" s="22">
        <f>F72 * G72 * 8292.347322</f>
        <v>194.04092733480002</v>
      </c>
      <c r="M72" s="22">
        <f>F72 * G72 * 6419.981036</f>
        <v>150.22755624240003</v>
      </c>
      <c r="N72" s="26">
        <f>SUM(H72:M72)</f>
        <v>2033.291423264398</v>
      </c>
      <c r="O72" s="30">
        <v>4.6511378517348295E-2</v>
      </c>
    </row>
    <row r="73" spans="2:15" s="14" customFormat="1" ht="12.75">
      <c r="B73" s="15"/>
      <c r="C73" s="16" t="s">
        <v>183</v>
      </c>
      <c r="D73" s="48" t="s">
        <v>184</v>
      </c>
      <c r="E73" s="48"/>
      <c r="F73" s="48"/>
      <c r="G73" s="48"/>
      <c r="H73" s="48"/>
      <c r="I73" s="48"/>
      <c r="J73" s="48"/>
      <c r="K73" s="48"/>
      <c r="L73" s="48"/>
      <c r="M73" s="48"/>
      <c r="N73" s="49"/>
      <c r="O73" s="29"/>
    </row>
    <row r="74" spans="2:15" ht="25.5">
      <c r="B74" s="17">
        <v>38</v>
      </c>
      <c r="C74" s="18" t="s">
        <v>185</v>
      </c>
      <c r="D74" s="19" t="s">
        <v>186</v>
      </c>
      <c r="E74" s="19" t="s">
        <v>91</v>
      </c>
      <c r="F74" s="20">
        <v>0.13500000000000001</v>
      </c>
      <c r="G74" s="21">
        <v>0.2</v>
      </c>
      <c r="H74" s="22">
        <f>F74 * G74 * 3830.379824</f>
        <v>103.42025524800002</v>
      </c>
      <c r="I74" s="22">
        <f>F74 * G74 * 2206.413052</f>
        <v>59.573152404000005</v>
      </c>
      <c r="J74" s="22">
        <f>F74 * G74 * 0.7744</f>
        <v>2.0908800000000002E-2</v>
      </c>
      <c r="K74" s="22">
        <f>F74 * G74 * 3646.521593</f>
        <v>98.456083011000004</v>
      </c>
      <c r="L74" s="22">
        <f>F74 * G74 * 1102.49239</f>
        <v>29.767294530000001</v>
      </c>
      <c r="M74" s="22">
        <f>F74 * G74 * 766.075965</f>
        <v>20.684051055000001</v>
      </c>
      <c r="N74" s="26">
        <f>SUM(H74:M74)</f>
        <v>311.92174504800005</v>
      </c>
      <c r="O74" s="30">
        <v>7.1351849448256935E-3</v>
      </c>
    </row>
    <row r="75" spans="2:15" s="14" customFormat="1" ht="12.75">
      <c r="B75" s="15"/>
      <c r="C75" s="16" t="s">
        <v>187</v>
      </c>
      <c r="D75" s="48" t="s">
        <v>188</v>
      </c>
      <c r="E75" s="48"/>
      <c r="F75" s="48"/>
      <c r="G75" s="48"/>
      <c r="H75" s="48"/>
      <c r="I75" s="48"/>
      <c r="J75" s="48"/>
      <c r="K75" s="48"/>
      <c r="L75" s="48"/>
      <c r="M75" s="48"/>
      <c r="N75" s="49"/>
      <c r="O75" s="29"/>
    </row>
    <row r="76" spans="2:15" ht="25.5">
      <c r="B76" s="17">
        <v>39</v>
      </c>
      <c r="C76" s="18" t="s">
        <v>189</v>
      </c>
      <c r="D76" s="19" t="s">
        <v>190</v>
      </c>
      <c r="E76" s="19" t="s">
        <v>191</v>
      </c>
      <c r="F76" s="20">
        <v>3.3090000000000002</v>
      </c>
      <c r="G76" s="21">
        <v>0.1</v>
      </c>
      <c r="H76" s="22">
        <f>F76 * G76 * 17599.990198</f>
        <v>5823.8367565182007</v>
      </c>
      <c r="I76" s="22">
        <f>F76 * G76 * 46627.011226</f>
        <v>15428.878014683401</v>
      </c>
      <c r="J76" s="22">
        <f>F76 * G76 * 0</f>
        <v>0</v>
      </c>
      <c r="K76" s="22">
        <f>F76 * G76 * 16755.190669</f>
        <v>5544.2925923721004</v>
      </c>
      <c r="L76" s="22">
        <f>F76 * G76 * 8914.981059</f>
        <v>2949.9672324231001</v>
      </c>
      <c r="M76" s="22">
        <f>F76 * G76 * 3519.99804</f>
        <v>1164.7673514360001</v>
      </c>
      <c r="N76" s="26">
        <f>SUM(H76:M76)</f>
        <v>30911.741947432802</v>
      </c>
      <c r="O76" s="30">
        <v>0.70710362218484768</v>
      </c>
    </row>
    <row r="77" spans="2:15" s="14" customFormat="1" ht="12.75">
      <c r="B77" s="15"/>
      <c r="C77" s="16" t="s">
        <v>192</v>
      </c>
      <c r="D77" s="48" t="s">
        <v>193</v>
      </c>
      <c r="E77" s="48"/>
      <c r="F77" s="48"/>
      <c r="G77" s="48"/>
      <c r="H77" s="48"/>
      <c r="I77" s="48"/>
      <c r="J77" s="48"/>
      <c r="K77" s="48"/>
      <c r="L77" s="48"/>
      <c r="M77" s="48"/>
      <c r="N77" s="49"/>
      <c r="O77" s="29"/>
    </row>
    <row r="78" spans="2:15">
      <c r="B78" s="17">
        <v>40</v>
      </c>
      <c r="C78" s="18" t="s">
        <v>194</v>
      </c>
      <c r="D78" s="19" t="s">
        <v>195</v>
      </c>
      <c r="E78" s="19" t="s">
        <v>36</v>
      </c>
      <c r="F78" s="20">
        <v>0.06</v>
      </c>
      <c r="G78" s="21">
        <v>0.1</v>
      </c>
      <c r="H78" s="22">
        <f>F78 * G78 * 13052.981099</f>
        <v>78.317886594000001</v>
      </c>
      <c r="I78" s="22">
        <f>F78 * G78 * 50898.12568</f>
        <v>305.38875408000001</v>
      </c>
      <c r="J78" s="22">
        <f>F78 * G78 * 0</f>
        <v>0</v>
      </c>
      <c r="K78" s="22">
        <f>F78 * G78 * 12426.438006</f>
        <v>74.558628036000002</v>
      </c>
      <c r="L78" s="22">
        <f>F78 * G78 * 8333.248876</f>
        <v>49.999493256000001</v>
      </c>
      <c r="M78" s="22">
        <f>F78 * G78 * 2610.59622</f>
        <v>15.66357732</v>
      </c>
      <c r="N78" s="26">
        <f>SUM(H78:M78)</f>
        <v>523.92833928599998</v>
      </c>
      <c r="O78" s="30">
        <v>1.1984818814301398E-2</v>
      </c>
    </row>
    <row r="79" spans="2:15" s="14" customFormat="1" ht="12.75">
      <c r="B79" s="15"/>
      <c r="C79" s="16" t="s">
        <v>196</v>
      </c>
      <c r="D79" s="48" t="s">
        <v>197</v>
      </c>
      <c r="E79" s="48"/>
      <c r="F79" s="48"/>
      <c r="G79" s="48"/>
      <c r="H79" s="48"/>
      <c r="I79" s="48"/>
      <c r="J79" s="48"/>
      <c r="K79" s="48"/>
      <c r="L79" s="48"/>
      <c r="M79" s="48"/>
      <c r="N79" s="49"/>
      <c r="O79" s="29"/>
    </row>
    <row r="80" spans="2:15" ht="25.5">
      <c r="B80" s="17">
        <v>41</v>
      </c>
      <c r="C80" s="18" t="s">
        <v>198</v>
      </c>
      <c r="D80" s="19" t="s">
        <v>199</v>
      </c>
      <c r="E80" s="19" t="s">
        <v>200</v>
      </c>
      <c r="F80" s="20">
        <v>0.12</v>
      </c>
      <c r="G80" s="21">
        <v>0.1</v>
      </c>
      <c r="H80" s="22">
        <f>F80 * G80 * 18243.892278</f>
        <v>218.92670733599999</v>
      </c>
      <c r="I80" s="22">
        <f>F80 * G80 * 32777.69895</f>
        <v>393.33238739999996</v>
      </c>
      <c r="J80" s="22">
        <f>F80 * G80 * 0</f>
        <v>0</v>
      </c>
      <c r="K80" s="22">
        <f>F80 * G80 * 17368.185449</f>
        <v>208.41822538800002</v>
      </c>
      <c r="L80" s="22">
        <f>F80 * G80 * 7600.067567</f>
        <v>91.200810804</v>
      </c>
      <c r="M80" s="22">
        <f>F80 * G80 * 3648.778456</f>
        <v>43.785341471999999</v>
      </c>
      <c r="N80" s="26">
        <f>SUM(H80:M80)</f>
        <v>955.66347239999993</v>
      </c>
      <c r="O80" s="30">
        <v>2.1860725418611032E-2</v>
      </c>
    </row>
    <row r="81" spans="2:15" s="14" customFormat="1" ht="12.75">
      <c r="B81" s="15"/>
      <c r="C81" s="16" t="s">
        <v>201</v>
      </c>
      <c r="D81" s="48" t="s">
        <v>202</v>
      </c>
      <c r="E81" s="48"/>
      <c r="F81" s="48"/>
      <c r="G81" s="48"/>
      <c r="H81" s="48"/>
      <c r="I81" s="48"/>
      <c r="J81" s="48"/>
      <c r="K81" s="48"/>
      <c r="L81" s="48"/>
      <c r="M81" s="48"/>
      <c r="N81" s="49"/>
      <c r="O81" s="29"/>
    </row>
    <row r="82" spans="2:15">
      <c r="B82" s="17">
        <v>42</v>
      </c>
      <c r="C82" s="18" t="s">
        <v>203</v>
      </c>
      <c r="D82" s="19" t="s">
        <v>204</v>
      </c>
      <c r="E82" s="19" t="s">
        <v>205</v>
      </c>
      <c r="F82" s="20">
        <v>0.06</v>
      </c>
      <c r="G82" s="21">
        <v>0.1</v>
      </c>
      <c r="H82" s="22">
        <f>F82 * G82 * 11208.98088</f>
        <v>67.253885279999992</v>
      </c>
      <c r="I82" s="22">
        <f>F82 * G82 * 20253.4656</f>
        <v>121.5207936</v>
      </c>
      <c r="J82" s="22">
        <f>F82 * G82 * 0</f>
        <v>0</v>
      </c>
      <c r="K82" s="22">
        <f>F82 * G82 * 10670.949798</f>
        <v>64.025698788</v>
      </c>
      <c r="L82" s="22">
        <f>F82 * G82 * 4681.582804</f>
        <v>28.089496823999998</v>
      </c>
      <c r="M82" s="22">
        <f>F82 * G82 * 2241.796176</f>
        <v>13.450777056</v>
      </c>
      <c r="N82" s="26">
        <f>SUM(H82:M82)</f>
        <v>294.34065154799998</v>
      </c>
      <c r="O82" s="30">
        <v>6.7330188385945648E-3</v>
      </c>
    </row>
    <row r="83" spans="2:15">
      <c r="B83" s="17">
        <v>43</v>
      </c>
      <c r="C83" s="18" t="s">
        <v>206</v>
      </c>
      <c r="D83" s="19" t="s">
        <v>207</v>
      </c>
      <c r="E83" s="19" t="s">
        <v>208</v>
      </c>
      <c r="F83" s="20">
        <v>0.06</v>
      </c>
      <c r="G83" s="21">
        <v>0.1</v>
      </c>
      <c r="H83" s="22">
        <f>F83 * G83 * 12234.139528</f>
        <v>73.404837168</v>
      </c>
      <c r="I83" s="22">
        <f>F83 * G83 * 11125.803881</f>
        <v>66.754823286000004</v>
      </c>
      <c r="J83" s="22">
        <f>F83 * G83 * 0</f>
        <v>0</v>
      </c>
      <c r="K83" s="22">
        <f>F83 * G83 * 11646.9008299999</f>
        <v>69.881404979999402</v>
      </c>
      <c r="L83" s="22">
        <f>F83 * G83 * 3951.362412</f>
        <v>23.708174472</v>
      </c>
      <c r="M83" s="22">
        <f>F83 * G83 * 2446.827906</f>
        <v>14.680967436</v>
      </c>
      <c r="N83" s="26">
        <f>SUM(H83:M83)</f>
        <v>248.43020734199939</v>
      </c>
      <c r="O83" s="30">
        <v>5.6828211030743757E-3</v>
      </c>
    </row>
    <row r="84" spans="2:15" s="11" customFormat="1" ht="15">
      <c r="B84" s="12"/>
      <c r="C84" s="13" t="s">
        <v>209</v>
      </c>
      <c r="D84" s="46" t="s">
        <v>210</v>
      </c>
      <c r="E84" s="46"/>
      <c r="F84" s="46"/>
      <c r="G84" s="46"/>
      <c r="H84" s="46"/>
      <c r="I84" s="46"/>
      <c r="J84" s="46"/>
      <c r="K84" s="46"/>
      <c r="L84" s="46"/>
      <c r="M84" s="46"/>
      <c r="N84" s="47"/>
      <c r="O84" s="28"/>
    </row>
    <row r="85" spans="2:15" s="14" customFormat="1" ht="12.75">
      <c r="B85" s="15"/>
      <c r="C85" s="16" t="s">
        <v>211</v>
      </c>
      <c r="D85" s="48" t="s">
        <v>212</v>
      </c>
      <c r="E85" s="48"/>
      <c r="F85" s="48"/>
      <c r="G85" s="48"/>
      <c r="H85" s="48"/>
      <c r="I85" s="48"/>
      <c r="J85" s="48"/>
      <c r="K85" s="48"/>
      <c r="L85" s="48"/>
      <c r="M85" s="48"/>
      <c r="N85" s="49"/>
      <c r="O85" s="29"/>
    </row>
    <row r="86" spans="2:15" ht="25.5">
      <c r="B86" s="17">
        <v>44</v>
      </c>
      <c r="C86" s="18" t="s">
        <v>213</v>
      </c>
      <c r="D86" s="19" t="s">
        <v>214</v>
      </c>
      <c r="E86" s="19" t="s">
        <v>215</v>
      </c>
      <c r="F86" s="20">
        <v>0.06</v>
      </c>
      <c r="G86" s="21">
        <v>0.2</v>
      </c>
      <c r="H86" s="22">
        <f>F86 * G86 * 58733.498493</f>
        <v>704.80198191600005</v>
      </c>
      <c r="I86" s="22">
        <f>F86 * G86 * 6082.498089</f>
        <v>72.989977068000002</v>
      </c>
      <c r="J86" s="22">
        <f>F86 * G86 * 13.299</f>
        <v>0.15958800000000001</v>
      </c>
      <c r="K86" s="22">
        <f>F86 * G86 * 55914.2905649999</f>
        <v>670.97148677999883</v>
      </c>
      <c r="L86" s="22">
        <f>F86 * G86 * 13977.725157</f>
        <v>167.73270188400002</v>
      </c>
      <c r="M86" s="22">
        <f>F86 * G86 * 11746.699699</f>
        <v>140.96039638800002</v>
      </c>
      <c r="N86" s="26">
        <f t="shared" ref="N86:N97" si="2">SUM(H86:M86)</f>
        <v>1757.6161320359988</v>
      </c>
      <c r="O86" s="30">
        <v>4.0205328301674413E-2</v>
      </c>
    </row>
    <row r="87" spans="2:15" ht="25.5">
      <c r="B87" s="17">
        <v>45</v>
      </c>
      <c r="C87" s="18" t="s">
        <v>216</v>
      </c>
      <c r="D87" s="19" t="s">
        <v>217</v>
      </c>
      <c r="E87" s="19" t="s">
        <v>215</v>
      </c>
      <c r="F87" s="20">
        <v>0.06</v>
      </c>
      <c r="G87" s="21">
        <v>0.2</v>
      </c>
      <c r="H87" s="22">
        <f>F87 * G87 * 77474.196242</f>
        <v>929.69035490400006</v>
      </c>
      <c r="I87" s="22">
        <f>F87 * G87 * 9022.485705</f>
        <v>108.26982845999999</v>
      </c>
      <c r="J87" s="22">
        <f>F87 * G87 * 17.5956</f>
        <v>0.21114720000000001</v>
      </c>
      <c r="K87" s="22">
        <f>F87 * G87 * 73755.434822</f>
        <v>885.06521786399992</v>
      </c>
      <c r="L87" s="22">
        <f>F87 * G87 * 18543.1601959999</f>
        <v>222.51792235199878</v>
      </c>
      <c r="M87" s="22">
        <f>F87 * G87 * 15494.839248</f>
        <v>185.93807097600001</v>
      </c>
      <c r="N87" s="26">
        <f t="shared" si="2"/>
        <v>2331.6925417559987</v>
      </c>
      <c r="O87" s="30">
        <v>5.3337280212187727E-2</v>
      </c>
    </row>
    <row r="88" spans="2:15">
      <c r="B88" s="17">
        <v>46</v>
      </c>
      <c r="C88" s="18" t="s">
        <v>218</v>
      </c>
      <c r="D88" s="19" t="s">
        <v>219</v>
      </c>
      <c r="E88" s="19" t="s">
        <v>220</v>
      </c>
      <c r="F88" s="20">
        <v>0.6</v>
      </c>
      <c r="G88" s="21">
        <v>0.2</v>
      </c>
      <c r="H88" s="22">
        <f>F88 * G88 * 15280.980966</f>
        <v>1833.7177159199998</v>
      </c>
      <c r="I88" s="22">
        <f>F88 * G88 * 31063.870479</f>
        <v>3727.6644574799998</v>
      </c>
      <c r="J88" s="22">
        <f t="shared" ref="J88:J94" si="3">F88 * G88 * 0</f>
        <v>0</v>
      </c>
      <c r="K88" s="22">
        <f>F88 * G88 * 14547.49388</f>
        <v>1745.6992656</v>
      </c>
      <c r="L88" s="22">
        <f>F88 * G88 * 6746.571131</f>
        <v>809.58853571999998</v>
      </c>
      <c r="M88" s="22">
        <f>F88 * G88 * 3056.196193</f>
        <v>366.74354316</v>
      </c>
      <c r="N88" s="26">
        <f t="shared" si="2"/>
        <v>8483.4135178800007</v>
      </c>
      <c r="O88" s="30">
        <v>0.19405740502058744</v>
      </c>
    </row>
    <row r="89" spans="2:15" ht="38.25">
      <c r="B89" s="17">
        <v>47</v>
      </c>
      <c r="C89" s="18" t="s">
        <v>221</v>
      </c>
      <c r="D89" s="19" t="s">
        <v>222</v>
      </c>
      <c r="E89" s="19" t="s">
        <v>223</v>
      </c>
      <c r="F89" s="20">
        <v>0.06</v>
      </c>
      <c r="G89" s="21">
        <v>0.2</v>
      </c>
      <c r="H89" s="22">
        <f>F89 * G89 * 16589.291702</f>
        <v>199.07150042399999</v>
      </c>
      <c r="I89" s="22">
        <f>F89 * G89 * 13708.955158</f>
        <v>164.50746189600002</v>
      </c>
      <c r="J89" s="22">
        <f t="shared" si="3"/>
        <v>0</v>
      </c>
      <c r="K89" s="22">
        <f>F89 * G89 * 15793.0057</f>
        <v>189.51606839999999</v>
      </c>
      <c r="L89" s="22">
        <f>F89 * G89 * 5212.661201</f>
        <v>62.551934412000001</v>
      </c>
      <c r="M89" s="22">
        <f>F89 * G89 * 3317.85834</f>
        <v>39.814300080000002</v>
      </c>
      <c r="N89" s="26">
        <f t="shared" si="2"/>
        <v>655.46126521200006</v>
      </c>
      <c r="O89" s="30">
        <v>1.4993623964040628E-2</v>
      </c>
    </row>
    <row r="90" spans="2:15" ht="25.5">
      <c r="B90" s="17">
        <v>48</v>
      </c>
      <c r="C90" s="18" t="s">
        <v>224</v>
      </c>
      <c r="D90" s="19" t="s">
        <v>225</v>
      </c>
      <c r="E90" s="19" t="s">
        <v>226</v>
      </c>
      <c r="F90" s="20">
        <v>0.6</v>
      </c>
      <c r="G90" s="21">
        <v>0.2</v>
      </c>
      <c r="H90" s="22">
        <f>F90 * G90 * 1365.718864</f>
        <v>163.88626367999998</v>
      </c>
      <c r="I90" s="22">
        <f>F90 * G90 * 333.984106</f>
        <v>40.078092720000001</v>
      </c>
      <c r="J90" s="22">
        <f t="shared" si="3"/>
        <v>0</v>
      </c>
      <c r="K90" s="22">
        <f>F90 * G90 * 1300.16435899999</f>
        <v>156.01972307999881</v>
      </c>
      <c r="L90" s="22">
        <f>F90 * G90 * 345.302672</f>
        <v>41.436320639999998</v>
      </c>
      <c r="M90" s="22">
        <f>F90 * G90 * 273.143773</f>
        <v>32.777252760000003</v>
      </c>
      <c r="N90" s="26">
        <f t="shared" si="2"/>
        <v>434.19765287999883</v>
      </c>
      <c r="O90" s="30">
        <v>9.932236546802059E-3</v>
      </c>
    </row>
    <row r="91" spans="2:15">
      <c r="B91" s="17">
        <v>49</v>
      </c>
      <c r="C91" s="18" t="s">
        <v>227</v>
      </c>
      <c r="D91" s="19" t="s">
        <v>228</v>
      </c>
      <c r="E91" s="19" t="s">
        <v>229</v>
      </c>
      <c r="F91" s="20">
        <v>3</v>
      </c>
      <c r="G91" s="21">
        <v>1</v>
      </c>
      <c r="H91" s="22">
        <f>F91 * G91 * 118.868123</f>
        <v>356.60436900000002</v>
      </c>
      <c r="I91" s="22">
        <f>F91 * G91 * 85.880167</f>
        <v>257.64050099999997</v>
      </c>
      <c r="J91" s="22">
        <f t="shared" si="3"/>
        <v>0</v>
      </c>
      <c r="K91" s="22">
        <f>F91 * G91 * 113.162453</f>
        <v>339.48735899999997</v>
      </c>
      <c r="L91" s="22">
        <f>F91 * G91 * 36.0477009999999</f>
        <v>108.14310299999968</v>
      </c>
      <c r="M91" s="22">
        <f>F91 * G91 * 23.773625</f>
        <v>71.320875000000001</v>
      </c>
      <c r="N91" s="26">
        <f t="shared" si="2"/>
        <v>1133.1962069999995</v>
      </c>
      <c r="O91" s="30">
        <v>2.5921772508921206E-2</v>
      </c>
    </row>
    <row r="92" spans="2:15">
      <c r="B92" s="17">
        <v>50</v>
      </c>
      <c r="C92" s="18" t="s">
        <v>230</v>
      </c>
      <c r="D92" s="19" t="s">
        <v>231</v>
      </c>
      <c r="E92" s="19" t="s">
        <v>232</v>
      </c>
      <c r="F92" s="20">
        <v>3</v>
      </c>
      <c r="G92" s="21">
        <v>1</v>
      </c>
      <c r="H92" s="22">
        <f>F92 * G92 * 33.626943</f>
        <v>100.88082899999999</v>
      </c>
      <c r="I92" s="22">
        <f>F92 * G92 * 104.238254</f>
        <v>312.71476200000001</v>
      </c>
      <c r="J92" s="22">
        <f t="shared" si="3"/>
        <v>0</v>
      </c>
      <c r="K92" s="22">
        <f>F92 * G92 * 32.01285</f>
        <v>96.038550000000001</v>
      </c>
      <c r="L92" s="22">
        <f>F92 * G92 * 18.631662</f>
        <v>55.894985999999996</v>
      </c>
      <c r="M92" s="22">
        <f>F92 * G92 * 6.725389</f>
        <v>20.176167</v>
      </c>
      <c r="N92" s="26">
        <f t="shared" si="2"/>
        <v>585.70529399999998</v>
      </c>
      <c r="O92" s="30">
        <v>1.3397961707384025E-2</v>
      </c>
    </row>
    <row r="93" spans="2:15">
      <c r="B93" s="17">
        <v>51</v>
      </c>
      <c r="C93" s="18" t="s">
        <v>233</v>
      </c>
      <c r="D93" s="19" t="s">
        <v>234</v>
      </c>
      <c r="E93" s="19" t="s">
        <v>235</v>
      </c>
      <c r="F93" s="20">
        <v>0.03</v>
      </c>
      <c r="G93" s="21">
        <v>1</v>
      </c>
      <c r="H93" s="22">
        <f>F93 * G93 * 23942.38316</f>
        <v>718.27149480000003</v>
      </c>
      <c r="I93" s="22">
        <f>F93 * G93 * 79511.414227</f>
        <v>2385.3424268099998</v>
      </c>
      <c r="J93" s="22">
        <f t="shared" si="3"/>
        <v>0</v>
      </c>
      <c r="K93" s="22">
        <f>F93 * G93 * 22793.148768</f>
        <v>683.79446303999998</v>
      </c>
      <c r="L93" s="22">
        <f>F93 * G93 * 13824.237104</f>
        <v>414.72711311999996</v>
      </c>
      <c r="M93" s="22">
        <f>F93 * G93 * 4788.476632</f>
        <v>143.65429895999998</v>
      </c>
      <c r="N93" s="26">
        <f t="shared" si="2"/>
        <v>4345.7897967299996</v>
      </c>
      <c r="O93" s="30">
        <v>9.9409593666620902E-2</v>
      </c>
    </row>
    <row r="94" spans="2:15">
      <c r="B94" s="17">
        <v>52</v>
      </c>
      <c r="C94" s="18" t="s">
        <v>236</v>
      </c>
      <c r="D94" s="19" t="s">
        <v>237</v>
      </c>
      <c r="E94" s="19" t="s">
        <v>127</v>
      </c>
      <c r="F94" s="20">
        <v>0.48</v>
      </c>
      <c r="G94" s="21">
        <v>0.2</v>
      </c>
      <c r="H94" s="22">
        <f>F94 * G94 * 11375.60342</f>
        <v>1092.05792832</v>
      </c>
      <c r="I94" s="22">
        <f>F94 * G94 * 4845.487643</f>
        <v>465.16681372800002</v>
      </c>
      <c r="J94" s="22">
        <f t="shared" si="3"/>
        <v>0</v>
      </c>
      <c r="K94" s="22">
        <f>F94 * G94 * 10829.574456</f>
        <v>1039.6391477760001</v>
      </c>
      <c r="L94" s="22">
        <f>F94 * G94 * 3093.870444</f>
        <v>297.01156262400002</v>
      </c>
      <c r="M94" s="22">
        <f>F94 * G94 * 2275.120684</f>
        <v>218.411585664</v>
      </c>
      <c r="N94" s="26">
        <f t="shared" si="2"/>
        <v>3112.2870381120001</v>
      </c>
      <c r="O94" s="30">
        <v>7.1193316820203134E-2</v>
      </c>
    </row>
    <row r="95" spans="2:15">
      <c r="B95" s="17">
        <v>53</v>
      </c>
      <c r="C95" s="18" t="s">
        <v>238</v>
      </c>
      <c r="D95" s="19" t="s">
        <v>239</v>
      </c>
      <c r="E95" s="19" t="s">
        <v>240</v>
      </c>
      <c r="F95" s="20">
        <v>3</v>
      </c>
      <c r="G95" s="21">
        <v>1</v>
      </c>
      <c r="H95" s="22">
        <f>F95 * G95 * 289.29151</f>
        <v>867.87453000000005</v>
      </c>
      <c r="I95" s="22">
        <f>F95 * G95 * 2880.83556</f>
        <v>8642.5066800000004</v>
      </c>
      <c r="J95" s="22">
        <f>F95 * G95 * 7.467328</f>
        <v>22.401983999999999</v>
      </c>
      <c r="K95" s="22">
        <f>F95 * G95 * 275.405518</f>
        <v>826.21655399999986</v>
      </c>
      <c r="L95" s="22">
        <f>F95 * G95 * 370.395542</f>
        <v>1111.1866259999999</v>
      </c>
      <c r="M95" s="22">
        <f>F95 * G95 * 57.858302</f>
        <v>173.574906</v>
      </c>
      <c r="N95" s="26">
        <f t="shared" si="2"/>
        <v>11643.761280000001</v>
      </c>
      <c r="O95" s="30">
        <v>0.26635010705462531</v>
      </c>
    </row>
    <row r="96" spans="2:15">
      <c r="B96" s="17">
        <v>54</v>
      </c>
      <c r="C96" s="18" t="s">
        <v>241</v>
      </c>
      <c r="D96" s="19" t="s">
        <v>242</v>
      </c>
      <c r="E96" s="19" t="s">
        <v>243</v>
      </c>
      <c r="F96" s="20">
        <v>3</v>
      </c>
      <c r="G96" s="21">
        <v>1</v>
      </c>
      <c r="H96" s="22">
        <f>F96 * G96 * 70.368205</f>
        <v>211.10461500000002</v>
      </c>
      <c r="I96" s="22">
        <f>F96 * G96 * 2136.02592</f>
        <v>6408.0777600000001</v>
      </c>
      <c r="J96" s="22">
        <f>F96 * G96 * 1.3464</f>
        <v>4.0392000000000001</v>
      </c>
      <c r="K96" s="22">
        <f>F96 * G96 * 66.990531</f>
        <v>200.97159300000001</v>
      </c>
      <c r="L96" s="22">
        <f>F96 * G96 * 241.468894999999</f>
        <v>724.40668499999697</v>
      </c>
      <c r="M96" s="22">
        <f>F96 * G96 * 14.073641</f>
        <v>42.220922999999999</v>
      </c>
      <c r="N96" s="26">
        <f t="shared" si="2"/>
        <v>7590.8207759999977</v>
      </c>
      <c r="O96" s="30">
        <v>0.17363941751303866</v>
      </c>
    </row>
    <row r="97" spans="2:15" ht="25.5">
      <c r="B97" s="17">
        <v>55</v>
      </c>
      <c r="C97" s="18" t="s">
        <v>244</v>
      </c>
      <c r="D97" s="19" t="s">
        <v>245</v>
      </c>
      <c r="E97" s="19" t="s">
        <v>246</v>
      </c>
      <c r="F97" s="20">
        <v>3</v>
      </c>
      <c r="G97" s="21">
        <v>0.1</v>
      </c>
      <c r="H97" s="22">
        <f>F97 * G97 * 526.611153</f>
        <v>157.98334590000002</v>
      </c>
      <c r="I97" s="22">
        <f>F97 * G97 * 2010.938661</f>
        <v>603.28159830000004</v>
      </c>
      <c r="J97" s="22">
        <f>F97 * G97 * 0</f>
        <v>0</v>
      </c>
      <c r="K97" s="22">
        <f>F97 * G97 * 501.333817</f>
        <v>150.40014510000003</v>
      </c>
      <c r="L97" s="22">
        <f>F97 * G97 * 331.713718</f>
        <v>99.514115400000009</v>
      </c>
      <c r="M97" s="22">
        <f>F97 * G97 * 105.322231</f>
        <v>31.596669300000006</v>
      </c>
      <c r="N97" s="26">
        <f t="shared" si="2"/>
        <v>1042.7758740000002</v>
      </c>
      <c r="O97" s="30">
        <v>2.3853414630798795E-2</v>
      </c>
    </row>
    <row r="98" spans="2:15" s="14" customFormat="1" ht="12.75">
      <c r="B98" s="15"/>
      <c r="C98" s="16" t="s">
        <v>247</v>
      </c>
      <c r="D98" s="48" t="s">
        <v>248</v>
      </c>
      <c r="E98" s="48"/>
      <c r="F98" s="48"/>
      <c r="G98" s="48"/>
      <c r="H98" s="48"/>
      <c r="I98" s="48"/>
      <c r="J98" s="48"/>
      <c r="K98" s="48"/>
      <c r="L98" s="48"/>
      <c r="M98" s="48"/>
      <c r="N98" s="49"/>
      <c r="O98" s="29"/>
    </row>
    <row r="99" spans="2:15">
      <c r="B99" s="17">
        <v>56</v>
      </c>
      <c r="C99" s="18" t="s">
        <v>249</v>
      </c>
      <c r="D99" s="19" t="s">
        <v>250</v>
      </c>
      <c r="E99" s="19" t="s">
        <v>251</v>
      </c>
      <c r="F99" s="20">
        <v>0.3</v>
      </c>
      <c r="G99" s="21">
        <v>1</v>
      </c>
      <c r="H99" s="22">
        <f>F99 * G99 * 2241.796176</f>
        <v>672.53885279999997</v>
      </c>
      <c r="I99" s="22">
        <f>F99 * G99 * 898.7904</f>
        <v>269.63711999999998</v>
      </c>
      <c r="J99" s="22">
        <f t="shared" ref="J99:J106" si="4">F99 * G99 * 0</f>
        <v>0</v>
      </c>
      <c r="K99" s="22">
        <f>F99 * G99 * 2134.189959</f>
        <v>640.25698769999997</v>
      </c>
      <c r="L99" s="22">
        <f>F99 * G99 * 603.790824</f>
        <v>181.13724720000002</v>
      </c>
      <c r="M99" s="22">
        <f>F99 * G99 * 448.359235</f>
        <v>134.50777049999999</v>
      </c>
      <c r="N99" s="26">
        <f t="shared" ref="N99:N106" si="5">SUM(H99:M99)</f>
        <v>1898.0779782</v>
      </c>
      <c r="O99" s="30">
        <v>4.3418381786988751E-2</v>
      </c>
    </row>
    <row r="100" spans="2:15">
      <c r="B100" s="17">
        <v>57</v>
      </c>
      <c r="C100" s="18" t="s">
        <v>252</v>
      </c>
      <c r="D100" s="19" t="s">
        <v>253</v>
      </c>
      <c r="E100" s="19" t="s">
        <v>254</v>
      </c>
      <c r="F100" s="20">
        <v>6</v>
      </c>
      <c r="G100" s="21">
        <v>0.2</v>
      </c>
      <c r="H100" s="22">
        <f>F100 * G100 * 112.089809</f>
        <v>134.50777080000003</v>
      </c>
      <c r="I100" s="22">
        <f>F100 * G100 * 45.53436</f>
        <v>54.641232000000009</v>
      </c>
      <c r="J100" s="22">
        <f t="shared" si="4"/>
        <v>0</v>
      </c>
      <c r="K100" s="22">
        <f>F100 * G100 * 106.709498</f>
        <v>128.0513976</v>
      </c>
      <c r="L100" s="22">
        <f>F100 * G100 * 30.252297</f>
        <v>36.302756400000007</v>
      </c>
      <c r="M100" s="22">
        <f>F100 * G100 * 22.417962</f>
        <v>26.901554400000002</v>
      </c>
      <c r="N100" s="26">
        <f t="shared" si="5"/>
        <v>380.40471120000007</v>
      </c>
      <c r="O100" s="30">
        <v>8.701727312654407E-3</v>
      </c>
    </row>
    <row r="101" spans="2:15" ht="25.5">
      <c r="B101" s="17">
        <v>58</v>
      </c>
      <c r="C101" s="18" t="s">
        <v>255</v>
      </c>
      <c r="D101" s="19" t="s">
        <v>256</v>
      </c>
      <c r="E101" s="19" t="s">
        <v>226</v>
      </c>
      <c r="F101" s="20">
        <v>0.3</v>
      </c>
      <c r="G101" s="21">
        <v>1</v>
      </c>
      <c r="H101" s="22">
        <f>F101 * G101 * 1112.807964</f>
        <v>333.84238920000001</v>
      </c>
      <c r="I101" s="22">
        <f>F101 * G101 * 283.562506</f>
        <v>85.068751799999987</v>
      </c>
      <c r="J101" s="22">
        <f t="shared" si="4"/>
        <v>0</v>
      </c>
      <c r="K101" s="22">
        <f>F101 * G101 * 1059.393182</f>
        <v>317.81795460000001</v>
      </c>
      <c r="L101" s="22">
        <f>F101 * G101 * 282.563313</f>
        <v>84.768993899999998</v>
      </c>
      <c r="M101" s="22">
        <f>F101 * G101 * 222.561593</f>
        <v>66.768477899999993</v>
      </c>
      <c r="N101" s="26">
        <f t="shared" si="5"/>
        <v>888.26656739999987</v>
      </c>
      <c r="O101" s="30">
        <v>2.0319026612681854E-2</v>
      </c>
    </row>
    <row r="102" spans="2:15">
      <c r="B102" s="17">
        <v>59</v>
      </c>
      <c r="C102" s="18" t="s">
        <v>257</v>
      </c>
      <c r="D102" s="19" t="s">
        <v>258</v>
      </c>
      <c r="E102" s="19" t="s">
        <v>259</v>
      </c>
      <c r="F102" s="20">
        <v>0.03</v>
      </c>
      <c r="G102" s="21">
        <v>1</v>
      </c>
      <c r="H102" s="22">
        <f>F102 * G102 * 3362.694264</f>
        <v>100.88082792</v>
      </c>
      <c r="I102" s="22">
        <f>F102 * G102 * 9440.069568</f>
        <v>283.20208704000004</v>
      </c>
      <c r="J102" s="22">
        <f t="shared" si="4"/>
        <v>0</v>
      </c>
      <c r="K102" s="22">
        <f>F102 * G102 * 3201.28494</f>
        <v>96.038548199999994</v>
      </c>
      <c r="L102" s="22">
        <f>F102 * G102 * 1759.379994</f>
        <v>52.781399819999997</v>
      </c>
      <c r="M102" s="22">
        <f>F102 * G102 * 672.538853</f>
        <v>20.17616559</v>
      </c>
      <c r="N102" s="26">
        <f t="shared" si="5"/>
        <v>553.07902856999999</v>
      </c>
      <c r="O102" s="30">
        <v>1.2651638497804008E-2</v>
      </c>
    </row>
    <row r="103" spans="2:15">
      <c r="B103" s="17">
        <v>60</v>
      </c>
      <c r="C103" s="18" t="s">
        <v>260</v>
      </c>
      <c r="D103" s="19" t="s">
        <v>261</v>
      </c>
      <c r="E103" s="19" t="s">
        <v>127</v>
      </c>
      <c r="F103" s="20">
        <v>0.81</v>
      </c>
      <c r="G103" s="21">
        <v>0.2</v>
      </c>
      <c r="H103" s="22">
        <f>F103 * G103 * 17385.356171</f>
        <v>2816.4276997020006</v>
      </c>
      <c r="I103" s="22">
        <f>F103 * G103 * 3143.935994</f>
        <v>509.31763102800011</v>
      </c>
      <c r="J103" s="22">
        <f t="shared" si="4"/>
        <v>0</v>
      </c>
      <c r="K103" s="22">
        <f>F103 * G103 * 16550.859075</f>
        <v>2681.2391701500005</v>
      </c>
      <c r="L103" s="22">
        <f>F103 * G103 * 4278.786971</f>
        <v>693.16348930200024</v>
      </c>
      <c r="M103" s="22">
        <f>F103 * G103 * 3477.071234</f>
        <v>563.28553990800015</v>
      </c>
      <c r="N103" s="26">
        <f t="shared" si="5"/>
        <v>7263.4335300900011</v>
      </c>
      <c r="O103" s="30">
        <v>0.1661504604741971</v>
      </c>
    </row>
    <row r="104" spans="2:15" ht="25.5">
      <c r="B104" s="17">
        <v>61</v>
      </c>
      <c r="C104" s="18" t="s">
        <v>262</v>
      </c>
      <c r="D104" s="19" t="s">
        <v>263</v>
      </c>
      <c r="E104" s="19" t="s">
        <v>264</v>
      </c>
      <c r="F104" s="20">
        <v>3</v>
      </c>
      <c r="G104" s="21">
        <v>1</v>
      </c>
      <c r="H104" s="22">
        <f>F104 * G104 * 1239.263414</f>
        <v>3717.790242</v>
      </c>
      <c r="I104" s="22">
        <f>F104 * G104 * 176.167513</f>
        <v>528.50253900000007</v>
      </c>
      <c r="J104" s="22">
        <f t="shared" si="4"/>
        <v>0</v>
      </c>
      <c r="K104" s="22">
        <f>F104 * G104 * 1179.77877</f>
        <v>3539.3363099999997</v>
      </c>
      <c r="L104" s="22">
        <f>F104 * G104 * 299.943081</f>
        <v>899.82924300000002</v>
      </c>
      <c r="M104" s="22">
        <f>F104 * G104 * 247.852683</f>
        <v>743.55804899999998</v>
      </c>
      <c r="N104" s="26">
        <f t="shared" si="5"/>
        <v>9429.0163829999983</v>
      </c>
      <c r="O104" s="30">
        <v>0.21568799485314297</v>
      </c>
    </row>
    <row r="105" spans="2:15" ht="25.5">
      <c r="B105" s="17">
        <v>62</v>
      </c>
      <c r="C105" s="18" t="s">
        <v>265</v>
      </c>
      <c r="D105" s="19" t="s">
        <v>266</v>
      </c>
      <c r="E105" s="19" t="s">
        <v>59</v>
      </c>
      <c r="F105" s="20">
        <v>3</v>
      </c>
      <c r="G105" s="21">
        <v>1</v>
      </c>
      <c r="H105" s="22">
        <f>F105 * G105 * 1251.908959</f>
        <v>3755.7268770000001</v>
      </c>
      <c r="I105" s="22">
        <f>F105 * G105 * 5762.887384</f>
        <v>17288.662151999997</v>
      </c>
      <c r="J105" s="22">
        <f t="shared" si="4"/>
        <v>0</v>
      </c>
      <c r="K105" s="22">
        <f>F105 * G105 * 1191.817329</f>
        <v>3575.4519869999999</v>
      </c>
      <c r="L105" s="22">
        <f>F105 * G105 * 892.213021</f>
        <v>2676.6390630000001</v>
      </c>
      <c r="M105" s="22">
        <f>F105 * G105 * 250.381792</f>
        <v>751.14537599999994</v>
      </c>
      <c r="N105" s="26">
        <f t="shared" si="5"/>
        <v>28047.625454999998</v>
      </c>
      <c r="O105" s="30">
        <v>0.64158718672797133</v>
      </c>
    </row>
    <row r="106" spans="2:15" ht="51">
      <c r="B106" s="17">
        <v>63</v>
      </c>
      <c r="C106" s="18" t="s">
        <v>267</v>
      </c>
      <c r="D106" s="19" t="s">
        <v>268</v>
      </c>
      <c r="E106" s="19" t="s">
        <v>269</v>
      </c>
      <c r="F106" s="20">
        <v>0.09</v>
      </c>
      <c r="G106" s="21">
        <v>1</v>
      </c>
      <c r="H106" s="22">
        <f>F106 * G106 * 10285.360855</f>
        <v>925.68247695000002</v>
      </c>
      <c r="I106" s="22">
        <f>F106 * G106 * 49114.229045</f>
        <v>4420.2806140499997</v>
      </c>
      <c r="J106" s="22">
        <f t="shared" si="4"/>
        <v>0</v>
      </c>
      <c r="K106" s="22">
        <f>F106 * G106 * 9791.663534</f>
        <v>881.24971805999996</v>
      </c>
      <c r="L106" s="22">
        <f>F106 * G106 * 7516.698351</f>
        <v>676.50285158999998</v>
      </c>
      <c r="M106" s="22">
        <f>F106 * G106 * 2057.072171</f>
        <v>185.13649538999996</v>
      </c>
      <c r="N106" s="26">
        <f t="shared" si="5"/>
        <v>7088.8521560400004</v>
      </c>
      <c r="O106" s="30">
        <v>0.16215692552017569</v>
      </c>
    </row>
    <row r="107" spans="2:15" s="14" customFormat="1" ht="12.75">
      <c r="B107" s="15"/>
      <c r="C107" s="16" t="s">
        <v>270</v>
      </c>
      <c r="D107" s="48" t="s">
        <v>271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9"/>
      <c r="O107" s="29"/>
    </row>
    <row r="108" spans="2:15">
      <c r="B108" s="17">
        <v>64</v>
      </c>
      <c r="C108" s="18" t="s">
        <v>272</v>
      </c>
      <c r="D108" s="19" t="s">
        <v>273</v>
      </c>
      <c r="E108" s="19" t="s">
        <v>246</v>
      </c>
      <c r="F108" s="20">
        <v>3</v>
      </c>
      <c r="G108" s="21">
        <v>0.1</v>
      </c>
      <c r="H108" s="22">
        <f>F108 * G108 * 526.611153</f>
        <v>157.98334590000002</v>
      </c>
      <c r="I108" s="22">
        <f>F108 * G108 * 1873.074501</f>
        <v>561.92235030000006</v>
      </c>
      <c r="J108" s="22">
        <f>F108 * G108 * 0</f>
        <v>0</v>
      </c>
      <c r="K108" s="22">
        <f>F108 * G108 * 501.333817</f>
        <v>150.40014510000003</v>
      </c>
      <c r="L108" s="22">
        <f>F108 * G108 * 317.169049999999</f>
        <v>95.150714999999721</v>
      </c>
      <c r="M108" s="22">
        <f>F108 * G108 * 105.322231</f>
        <v>31.596669300000006</v>
      </c>
      <c r="N108" s="26">
        <f>SUM(H108:M108)</f>
        <v>997.05322559999991</v>
      </c>
      <c r="O108" s="30">
        <v>2.2807512709305516E-2</v>
      </c>
    </row>
    <row r="109" spans="2:15" s="14" customFormat="1" ht="12.75">
      <c r="B109" s="15"/>
      <c r="C109" s="16" t="s">
        <v>274</v>
      </c>
      <c r="D109" s="48" t="s">
        <v>275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49"/>
      <c r="O109" s="29"/>
    </row>
    <row r="110" spans="2:15" ht="25.5">
      <c r="B110" s="17">
        <v>65</v>
      </c>
      <c r="C110" s="18" t="s">
        <v>276</v>
      </c>
      <c r="D110" s="19" t="s">
        <v>277</v>
      </c>
      <c r="E110" s="19" t="s">
        <v>278</v>
      </c>
      <c r="F110" s="20">
        <v>3</v>
      </c>
      <c r="G110" s="21">
        <v>0.1</v>
      </c>
      <c r="H110" s="22">
        <f>F110 * G110 * 134.507771</f>
        <v>40.352331300000003</v>
      </c>
      <c r="I110" s="22">
        <f>F110 * G110 * 1392.5724</f>
        <v>417.77172000000007</v>
      </c>
      <c r="J110" s="22">
        <f>F110 * G110 * 0</f>
        <v>0</v>
      </c>
      <c r="K110" s="22">
        <f>F110 * G110 * 128.051398</f>
        <v>38.415419400000005</v>
      </c>
      <c r="L110" s="22">
        <f>F110 * G110 * 177.454495</f>
        <v>53.236348500000013</v>
      </c>
      <c r="M110" s="22">
        <f>F110 * G110 * 26.901554</f>
        <v>8.070466200000002</v>
      </c>
      <c r="N110" s="26">
        <f>SUM(H110:M110)</f>
        <v>557.84628540000017</v>
      </c>
      <c r="O110" s="30">
        <v>1.2760689116113097E-2</v>
      </c>
    </row>
    <row r="111" spans="2:15" s="14" customFormat="1" ht="12.75">
      <c r="B111" s="15"/>
      <c r="C111" s="16" t="s">
        <v>279</v>
      </c>
      <c r="D111" s="48" t="s">
        <v>280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9"/>
      <c r="O111" s="29"/>
    </row>
    <row r="112" spans="2:15" ht="25.5">
      <c r="B112" s="17">
        <v>66</v>
      </c>
      <c r="C112" s="18" t="s">
        <v>281</v>
      </c>
      <c r="D112" s="19" t="s">
        <v>282</v>
      </c>
      <c r="E112" s="19" t="s">
        <v>283</v>
      </c>
      <c r="F112" s="20">
        <v>0.03</v>
      </c>
      <c r="G112" s="21">
        <v>0.2</v>
      </c>
      <c r="H112" s="22">
        <f>F112 * G112 * 90276.566455</f>
        <v>541.65939873000002</v>
      </c>
      <c r="I112" s="22">
        <f>F112 * G112 * 20169.615156</f>
        <v>121.01769093600001</v>
      </c>
      <c r="J112" s="22">
        <f>F112 * G112 * 475.988832</f>
        <v>2.8559329920000001</v>
      </c>
      <c r="K112" s="22">
        <f>F112 * G112 * 86349.816967</f>
        <v>518.098901802</v>
      </c>
      <c r="L112" s="22">
        <f>F112 * G112 * 22726.040405</f>
        <v>136.35624243000001</v>
      </c>
      <c r="M112" s="22">
        <f>F112 * G112 * 18140.71785</f>
        <v>108.84430710000001</v>
      </c>
      <c r="N112" s="26">
        <f>SUM(H112:M112)</f>
        <v>1428.8324739899999</v>
      </c>
      <c r="O112" s="30">
        <v>3.2684428447021685E-2</v>
      </c>
    </row>
    <row r="113" spans="2:15" ht="38.25">
      <c r="B113" s="17">
        <v>67</v>
      </c>
      <c r="C113" s="18" t="s">
        <v>284</v>
      </c>
      <c r="D113" s="19" t="s">
        <v>285</v>
      </c>
      <c r="E113" s="19" t="s">
        <v>68</v>
      </c>
      <c r="F113" s="20">
        <v>0.3</v>
      </c>
      <c r="G113" s="21">
        <v>0.2</v>
      </c>
      <c r="H113" s="22">
        <f>F113 * G113 * 79003.876223</f>
        <v>4740.2325733799998</v>
      </c>
      <c r="I113" s="22">
        <f>F113 * G113 * 20169.615156</f>
        <v>1210.1769093599999</v>
      </c>
      <c r="J113" s="22">
        <f>F113 * G113 * 10.53184</f>
        <v>0.63191039999999998</v>
      </c>
      <c r="K113" s="22">
        <f>F113 * G113 * 75211.690164</f>
        <v>4512.7014098399995</v>
      </c>
      <c r="L113" s="22">
        <f>F113 * G113 * 20065.72955</f>
        <v>1203.943773</v>
      </c>
      <c r="M113" s="22">
        <f>F113 * G113 * 15800.775245</f>
        <v>948.04651469999999</v>
      </c>
      <c r="N113" s="26">
        <f>SUM(H113:M113)</f>
        <v>12615.733090679998</v>
      </c>
      <c r="O113" s="30">
        <v>0.28858388440570953</v>
      </c>
    </row>
    <row r="114" spans="2:15" s="11" customFormat="1" ht="15">
      <c r="B114" s="12"/>
      <c r="C114" s="13" t="s">
        <v>286</v>
      </c>
      <c r="D114" s="46" t="s">
        <v>287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7"/>
      <c r="O114" s="28"/>
    </row>
    <row r="115" spans="2:15" s="14" customFormat="1" ht="12.75">
      <c r="B115" s="15"/>
      <c r="C115" s="16" t="s">
        <v>288</v>
      </c>
      <c r="D115" s="48" t="s">
        <v>289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9"/>
      <c r="O115" s="29"/>
    </row>
    <row r="116" spans="2:15">
      <c r="B116" s="17">
        <v>68</v>
      </c>
      <c r="C116" s="18" t="s">
        <v>290</v>
      </c>
      <c r="D116" s="19" t="s">
        <v>291</v>
      </c>
      <c r="E116" s="19" t="s">
        <v>292</v>
      </c>
      <c r="F116" s="20">
        <v>0.14399999999999999</v>
      </c>
      <c r="G116" s="21">
        <v>0.2</v>
      </c>
      <c r="H116" s="22">
        <f>F116 * G116 * 13450.777056</f>
        <v>387.3823792128</v>
      </c>
      <c r="I116" s="22">
        <f>F116 * G116 * 16865.39916</f>
        <v>485.723495808</v>
      </c>
      <c r="J116" s="22">
        <f>F116 * G116 * 0</f>
        <v>0</v>
      </c>
      <c r="K116" s="22">
        <f>F116 * G116 * 12805.1397569999</f>
        <v>368.78802500159713</v>
      </c>
      <c r="L116" s="22">
        <f>F116 * G116 * 4833.110231</f>
        <v>139.19357465279998</v>
      </c>
      <c r="M116" s="22">
        <f>F116 * G116 * 2690.155411</f>
        <v>77.476475836800006</v>
      </c>
      <c r="N116" s="26">
        <f>SUM(H116:M116)</f>
        <v>1458.5639505119973</v>
      </c>
      <c r="O116" s="30">
        <v>3.3364533592094368E-2</v>
      </c>
    </row>
    <row r="117" spans="2:15" ht="25.5">
      <c r="B117" s="17">
        <v>69</v>
      </c>
      <c r="C117" s="18" t="s">
        <v>293</v>
      </c>
      <c r="D117" s="19" t="s">
        <v>294</v>
      </c>
      <c r="E117" s="19" t="s">
        <v>295</v>
      </c>
      <c r="F117" s="20">
        <v>0.15</v>
      </c>
      <c r="G117" s="21">
        <v>0.2</v>
      </c>
      <c r="H117" s="22">
        <f>F117 * G117 * 4931.951587</f>
        <v>147.95854760999998</v>
      </c>
      <c r="I117" s="22">
        <f>F117 * G117 * 4095.899254</f>
        <v>122.87697761999999</v>
      </c>
      <c r="J117" s="22">
        <f>F117 * G117 * 0</f>
        <v>0</v>
      </c>
      <c r="K117" s="22">
        <f>F117 * G117 * 4695.217911</f>
        <v>140.85653732999998</v>
      </c>
      <c r="L117" s="22">
        <f>F117 * G117 * 1551.847931</f>
        <v>46.555437929999997</v>
      </c>
      <c r="M117" s="22">
        <f>F117 * G117 * 986.390317</f>
        <v>29.591709509999998</v>
      </c>
      <c r="N117" s="26">
        <f>SUM(H117:M117)</f>
        <v>487.83920999999992</v>
      </c>
      <c r="O117" s="30">
        <v>1.1159282871259947E-2</v>
      </c>
    </row>
    <row r="118" spans="2:15" s="14" customFormat="1" ht="12.75">
      <c r="B118" s="15"/>
      <c r="C118" s="16" t="s">
        <v>296</v>
      </c>
      <c r="D118" s="48" t="s">
        <v>297</v>
      </c>
      <c r="E118" s="48"/>
      <c r="F118" s="48"/>
      <c r="G118" s="48"/>
      <c r="H118" s="48"/>
      <c r="I118" s="48"/>
      <c r="J118" s="48"/>
      <c r="K118" s="48"/>
      <c r="L118" s="48"/>
      <c r="M118" s="48"/>
      <c r="N118" s="49"/>
      <c r="O118" s="29"/>
    </row>
    <row r="119" spans="2:15" s="14" customFormat="1" ht="12.75">
      <c r="B119" s="15"/>
      <c r="C119" s="16" t="s">
        <v>298</v>
      </c>
      <c r="D119" s="50" t="s">
        <v>299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1"/>
      <c r="O119" s="31"/>
    </row>
    <row r="120" spans="2:15">
      <c r="B120" s="17">
        <v>70</v>
      </c>
      <c r="C120" s="18" t="s">
        <v>300</v>
      </c>
      <c r="D120" s="19" t="s">
        <v>301</v>
      </c>
      <c r="E120" s="19" t="s">
        <v>191</v>
      </c>
      <c r="F120" s="20">
        <v>0.3</v>
      </c>
      <c r="G120" s="21">
        <v>0.2</v>
      </c>
      <c r="H120" s="22">
        <f>F120 * G120 * 11657.340115</f>
        <v>699.44040689999997</v>
      </c>
      <c r="I120" s="22">
        <f>F120 * G120 * 55777.638966</f>
        <v>3346.6583379599997</v>
      </c>
      <c r="J120" s="22">
        <f>F120 * G120 * 0</f>
        <v>0</v>
      </c>
      <c r="K120" s="22">
        <f>F120 * G120 * 11097.78779</f>
        <v>665.86726739999995</v>
      </c>
      <c r="L120" s="22">
        <f>F120 * G120 * 8531.176781</f>
        <v>511.87060686000001</v>
      </c>
      <c r="M120" s="22">
        <f>F120 * G120 * 2331.468023</f>
        <v>139.88808137999999</v>
      </c>
      <c r="N120" s="26">
        <f>SUM(H120:M120)</f>
        <v>5363.7247004999999</v>
      </c>
      <c r="O120" s="30">
        <v>0.12269477309223169</v>
      </c>
    </row>
    <row r="121" spans="2:15">
      <c r="B121" s="17">
        <v>71</v>
      </c>
      <c r="C121" s="18" t="s">
        <v>302</v>
      </c>
      <c r="D121" s="19" t="s">
        <v>303</v>
      </c>
      <c r="E121" s="19" t="s">
        <v>191</v>
      </c>
      <c r="F121" s="20">
        <v>0.3</v>
      </c>
      <c r="G121" s="21">
        <v>0.2</v>
      </c>
      <c r="H121" s="22">
        <f>F121 * G121 * 6501.20891</f>
        <v>390.07253459999998</v>
      </c>
      <c r="I121" s="22">
        <f>F121 * G121 * 8174.30016</f>
        <v>490.45800959999997</v>
      </c>
      <c r="J121" s="22">
        <f>F121 * G121 * 0</f>
        <v>0</v>
      </c>
      <c r="K121" s="22">
        <f>F121 * G121 * 6189.150882</f>
        <v>371.34905291999996</v>
      </c>
      <c r="L121" s="22">
        <f>F121 * G121 * 2338.397133</f>
        <v>140.30382797999999</v>
      </c>
      <c r="M121" s="22">
        <f>F121 * G121 * 1300.241782</f>
        <v>78.014506920000002</v>
      </c>
      <c r="N121" s="26">
        <f>SUM(H121:M121)</f>
        <v>1470.1979320199998</v>
      </c>
      <c r="O121" s="30">
        <v>3.363065998764754E-2</v>
      </c>
    </row>
    <row r="122" spans="2:15" s="14" customFormat="1" ht="12.75">
      <c r="B122" s="15"/>
      <c r="C122" s="16" t="s">
        <v>304</v>
      </c>
      <c r="D122" s="48" t="s">
        <v>305</v>
      </c>
      <c r="E122" s="48"/>
      <c r="F122" s="48"/>
      <c r="G122" s="48"/>
      <c r="H122" s="48"/>
      <c r="I122" s="48"/>
      <c r="J122" s="48"/>
      <c r="K122" s="48"/>
      <c r="L122" s="48"/>
      <c r="M122" s="48"/>
      <c r="N122" s="49"/>
      <c r="O122" s="29"/>
    </row>
    <row r="123" spans="2:15" ht="25.5">
      <c r="B123" s="17">
        <v>72</v>
      </c>
      <c r="C123" s="18" t="s">
        <v>306</v>
      </c>
      <c r="D123" s="19" t="s">
        <v>307</v>
      </c>
      <c r="E123" s="19" t="s">
        <v>308</v>
      </c>
      <c r="F123" s="20">
        <v>0.14399999999999999</v>
      </c>
      <c r="G123" s="21">
        <v>0.2</v>
      </c>
      <c r="H123" s="22">
        <f>F123 * G123 * 14519.174395</f>
        <v>418.15222257599999</v>
      </c>
      <c r="I123" s="22">
        <f>F123 * G123 * 1617.242629</f>
        <v>46.576587715199999</v>
      </c>
      <c r="J123" s="22">
        <f>F123 * G123 * 0</f>
        <v>0</v>
      </c>
      <c r="K123" s="22">
        <f>F123 * G123 * 13822.254024</f>
        <v>398.08091589119999</v>
      </c>
      <c r="L123" s="22">
        <f>F123 * G123 * 3466.994376</f>
        <v>99.849438028799995</v>
      </c>
      <c r="M123" s="22">
        <f>F123 * G123 * 2903.834879</f>
        <v>83.630444515199997</v>
      </c>
      <c r="N123" s="26">
        <f>SUM(H123:M123)</f>
        <v>1046.2896087264</v>
      </c>
      <c r="O123" s="30">
        <v>2.3933791031347792E-2</v>
      </c>
    </row>
    <row r="124" spans="2:15" s="14" customFormat="1" ht="12.75">
      <c r="B124" s="15"/>
      <c r="C124" s="16" t="s">
        <v>309</v>
      </c>
      <c r="D124" s="48" t="s">
        <v>310</v>
      </c>
      <c r="E124" s="48"/>
      <c r="F124" s="48"/>
      <c r="G124" s="48"/>
      <c r="H124" s="48"/>
      <c r="I124" s="48"/>
      <c r="J124" s="48"/>
      <c r="K124" s="48"/>
      <c r="L124" s="48"/>
      <c r="M124" s="48"/>
      <c r="N124" s="49"/>
      <c r="O124" s="29"/>
    </row>
    <row r="125" spans="2:15" ht="25.5">
      <c r="B125" s="17">
        <v>73</v>
      </c>
      <c r="C125" s="18" t="s">
        <v>311</v>
      </c>
      <c r="D125" s="19" t="s">
        <v>312</v>
      </c>
      <c r="E125" s="19" t="s">
        <v>91</v>
      </c>
      <c r="F125" s="20">
        <v>0.252</v>
      </c>
      <c r="G125" s="21">
        <v>0.2</v>
      </c>
      <c r="H125" s="22">
        <f>F125 * G125 * 8701.987399</f>
        <v>438.5801649096</v>
      </c>
      <c r="I125" s="22">
        <f>F125 * G125 * 2700.133373</f>
        <v>136.08672199919999</v>
      </c>
      <c r="J125" s="22">
        <f>F125 * G125 * 0</f>
        <v>0</v>
      </c>
      <c r="K125" s="22">
        <f>F125 * G125 * 8284.292003</f>
        <v>417.52831695120005</v>
      </c>
      <c r="L125" s="22">
        <f>F125 * G125 * 2260.528482</f>
        <v>113.93063549280001</v>
      </c>
      <c r="M125" s="22">
        <f>F125 * G125 * 1740.39748</f>
        <v>87.716032992000009</v>
      </c>
      <c r="N125" s="26">
        <f>SUM(H125:M125)</f>
        <v>1193.8418723448001</v>
      </c>
      <c r="O125" s="30">
        <v>2.7309037248256934E-2</v>
      </c>
    </row>
    <row r="126" spans="2:15" ht="25.5">
      <c r="B126" s="17">
        <v>74</v>
      </c>
      <c r="C126" s="18" t="s">
        <v>313</v>
      </c>
      <c r="D126" s="19" t="s">
        <v>314</v>
      </c>
      <c r="E126" s="19" t="s">
        <v>315</v>
      </c>
      <c r="F126" s="20">
        <v>1.32</v>
      </c>
      <c r="G126" s="21">
        <v>0.2</v>
      </c>
      <c r="H126" s="22">
        <f>F126 * G126 * 2839.595888</f>
        <v>749.653314432</v>
      </c>
      <c r="I126" s="22">
        <f>F126 * G126 * 589.023567</f>
        <v>155.50222168799999</v>
      </c>
      <c r="J126" s="22">
        <f>F126 * G126 * 0</f>
        <v>0</v>
      </c>
      <c r="K126" s="22">
        <f>F126 * G126 * 2703.295285</f>
        <v>713.66995524000004</v>
      </c>
      <c r="L126" s="22">
        <f>F126 * G126 * 706.832479</f>
        <v>186.60377445600002</v>
      </c>
      <c r="M126" s="22">
        <f>F126 * G126 * 567.919178</f>
        <v>149.93066299200001</v>
      </c>
      <c r="N126" s="26">
        <f>SUM(H126:M126)</f>
        <v>1955.3599288079999</v>
      </c>
      <c r="O126" s="30">
        <v>4.4728701821026624E-2</v>
      </c>
    </row>
    <row r="127" spans="2:15" ht="25.5">
      <c r="B127" s="17">
        <v>75</v>
      </c>
      <c r="C127" s="18" t="s">
        <v>316</v>
      </c>
      <c r="D127" s="19" t="s">
        <v>317</v>
      </c>
      <c r="E127" s="19" t="s">
        <v>318</v>
      </c>
      <c r="F127" s="20">
        <v>0.06</v>
      </c>
      <c r="G127" s="21">
        <v>0.2</v>
      </c>
      <c r="H127" s="22">
        <f>F127 * G127 * 32878.417104</f>
        <v>394.54100524800003</v>
      </c>
      <c r="I127" s="22">
        <f>F127 * G127 * 423415.723362</f>
        <v>5080.9886803440004</v>
      </c>
      <c r="J127" s="22">
        <f>F127 * G127 * 0</f>
        <v>0</v>
      </c>
      <c r="K127" s="22">
        <f>F127 * G127 * 31300.253083</f>
        <v>375.60303699600001</v>
      </c>
      <c r="L127" s="22">
        <f>F127 * G127 * 52134.9431199999</f>
        <v>625.61931743999878</v>
      </c>
      <c r="M127" s="22">
        <f>F127 * G127 * 6575.683421</f>
        <v>78.908201051999995</v>
      </c>
      <c r="N127" s="26">
        <f>SUM(H127:M127)</f>
        <v>6555.6602410799987</v>
      </c>
      <c r="O127" s="30">
        <v>0.14996020315399392</v>
      </c>
    </row>
    <row r="128" spans="2:15" s="11" customFormat="1" ht="15">
      <c r="B128" s="12"/>
      <c r="C128" s="13" t="s">
        <v>319</v>
      </c>
      <c r="D128" s="46" t="s">
        <v>320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7"/>
      <c r="O128" s="28"/>
    </row>
    <row r="129" spans="2:15" s="14" customFormat="1" ht="12.75">
      <c r="B129" s="15"/>
      <c r="C129" s="16" t="s">
        <v>321</v>
      </c>
      <c r="D129" s="48" t="s">
        <v>322</v>
      </c>
      <c r="E129" s="48"/>
      <c r="F129" s="48"/>
      <c r="G129" s="48"/>
      <c r="H129" s="48"/>
      <c r="I129" s="48"/>
      <c r="J129" s="48"/>
      <c r="K129" s="48"/>
      <c r="L129" s="48"/>
      <c r="M129" s="48"/>
      <c r="N129" s="49"/>
      <c r="O129" s="29"/>
    </row>
    <row r="130" spans="2:15" s="14" customFormat="1" ht="12.75">
      <c r="B130" s="15"/>
      <c r="C130" s="16" t="s">
        <v>323</v>
      </c>
      <c r="D130" s="50" t="s">
        <v>324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1"/>
      <c r="O130" s="31"/>
    </row>
    <row r="131" spans="2:15" ht="25.5">
      <c r="B131" s="17">
        <v>76</v>
      </c>
      <c r="C131" s="18" t="s">
        <v>325</v>
      </c>
      <c r="D131" s="19" t="s">
        <v>326</v>
      </c>
      <c r="E131" s="19" t="s">
        <v>327</v>
      </c>
      <c r="F131" s="20">
        <v>0.09</v>
      </c>
      <c r="G131" s="21">
        <v>0.2</v>
      </c>
      <c r="H131" s="22">
        <f>F131 * G131 * 14884.978446</f>
        <v>267.92961202799995</v>
      </c>
      <c r="I131" s="22">
        <f>F131 * G131 * 33053.058098</f>
        <v>594.95504576400003</v>
      </c>
      <c r="J131" s="22">
        <f>F131 * G131 * 0</f>
        <v>0</v>
      </c>
      <c r="K131" s="22">
        <f>F131 * G131 * 14170.4994809999</f>
        <v>255.0689906579982</v>
      </c>
      <c r="L131" s="22">
        <f>F131 * G131 * 6866.523596</f>
        <v>123.59742472799999</v>
      </c>
      <c r="M131" s="22">
        <f>F131 * G131 * 2976.995689</f>
        <v>53.585922401999994</v>
      </c>
      <c r="N131" s="26">
        <f>SUM(H131:M131)</f>
        <v>1295.1369955799983</v>
      </c>
      <c r="O131" s="30">
        <v>2.962615508234967E-2</v>
      </c>
    </row>
    <row r="132" spans="2:15" ht="25.5">
      <c r="B132" s="17">
        <v>77</v>
      </c>
      <c r="C132" s="18" t="s">
        <v>328</v>
      </c>
      <c r="D132" s="19" t="s">
        <v>329</v>
      </c>
      <c r="E132" s="19" t="s">
        <v>327</v>
      </c>
      <c r="F132" s="20">
        <v>0.06</v>
      </c>
      <c r="G132" s="21">
        <v>0.2</v>
      </c>
      <c r="H132" s="22">
        <f>F132 * G132 * 16029.976788</f>
        <v>192.35972145600002</v>
      </c>
      <c r="I132" s="22">
        <f>F132 * G132 * 52982.562098</f>
        <v>635.79074517600009</v>
      </c>
      <c r="J132" s="22">
        <f>F132 * G132 * 0</f>
        <v>0</v>
      </c>
      <c r="K132" s="22">
        <f>F132 * G132 * 15260.537902</f>
        <v>183.12645482400001</v>
      </c>
      <c r="L132" s="22">
        <f>F132 * G132 * 9229.042112</f>
        <v>110.74850534399999</v>
      </c>
      <c r="M132" s="22">
        <f>F132 * G132 * 3205.995358</f>
        <v>38.471944296000004</v>
      </c>
      <c r="N132" s="26">
        <f>SUM(H132:M132)</f>
        <v>1160.4973710960001</v>
      </c>
      <c r="O132" s="30">
        <v>2.6546284451825417E-2</v>
      </c>
    </row>
    <row r="133" spans="2:15" s="14" customFormat="1" ht="12.75">
      <c r="B133" s="15"/>
      <c r="C133" s="16" t="s">
        <v>330</v>
      </c>
      <c r="D133" s="48" t="s">
        <v>331</v>
      </c>
      <c r="E133" s="48"/>
      <c r="F133" s="48"/>
      <c r="G133" s="48"/>
      <c r="H133" s="48"/>
      <c r="I133" s="48"/>
      <c r="J133" s="48"/>
      <c r="K133" s="48"/>
      <c r="L133" s="48"/>
      <c r="M133" s="48"/>
      <c r="N133" s="49"/>
      <c r="O133" s="29"/>
    </row>
    <row r="134" spans="2:15" s="14" customFormat="1" ht="12.75">
      <c r="B134" s="15"/>
      <c r="C134" s="16" t="s">
        <v>332</v>
      </c>
      <c r="D134" s="50" t="s">
        <v>333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31"/>
    </row>
    <row r="135" spans="2:15" ht="25.5">
      <c r="B135" s="17">
        <v>78</v>
      </c>
      <c r="C135" s="18" t="s">
        <v>334</v>
      </c>
      <c r="D135" s="19" t="s">
        <v>335</v>
      </c>
      <c r="E135" s="19" t="s">
        <v>336</v>
      </c>
      <c r="F135" s="20">
        <v>0.06</v>
      </c>
      <c r="G135" s="21">
        <v>0.1</v>
      </c>
      <c r="H135" s="22">
        <f>F135 * G135 * 25189.963524</f>
        <v>151.13978114399998</v>
      </c>
      <c r="I135" s="22">
        <f>F135 * G135 * 1221524.0028</f>
        <v>7329.1440167999999</v>
      </c>
      <c r="J135" s="22">
        <f>F135 * G135 * 0</f>
        <v>0</v>
      </c>
      <c r="K135" s="22">
        <f>F135 * G135 * 23980.845275</f>
        <v>143.88507165000001</v>
      </c>
      <c r="L135" s="22">
        <f>F135 * G135 * 134589.810855</f>
        <v>807.53886512999998</v>
      </c>
      <c r="M135" s="22">
        <f>F135 * G135 * 5037.992705</f>
        <v>30.22795623</v>
      </c>
      <c r="N135" s="26">
        <f>SUM(H135:M135)</f>
        <v>8461.9356909540002</v>
      </c>
      <c r="O135" s="30">
        <v>0.19356610144921768</v>
      </c>
    </row>
    <row r="136" spans="2:15" s="14" customFormat="1" ht="12.75">
      <c r="B136" s="15"/>
      <c r="C136" s="16" t="s">
        <v>337</v>
      </c>
      <c r="D136" s="50" t="s">
        <v>338</v>
      </c>
      <c r="E136" s="50"/>
      <c r="F136" s="50"/>
      <c r="G136" s="50"/>
      <c r="H136" s="50"/>
      <c r="I136" s="50"/>
      <c r="J136" s="50"/>
      <c r="K136" s="50"/>
      <c r="L136" s="50"/>
      <c r="M136" s="50"/>
      <c r="N136" s="51"/>
      <c r="O136" s="31"/>
    </row>
    <row r="137" spans="2:15" ht="25.5">
      <c r="B137" s="17">
        <v>79</v>
      </c>
      <c r="C137" s="18" t="s">
        <v>339</v>
      </c>
      <c r="D137" s="19" t="s">
        <v>340</v>
      </c>
      <c r="E137" s="19" t="s">
        <v>341</v>
      </c>
      <c r="F137" s="20">
        <v>0.06</v>
      </c>
      <c r="G137" s="21">
        <v>1</v>
      </c>
      <c r="H137" s="22">
        <f>F137 * G137 * 65370.776492</f>
        <v>3922.2465895199998</v>
      </c>
      <c r="I137" s="22">
        <f>F137 * G137 * 2874.438408</f>
        <v>172.46630447999999</v>
      </c>
      <c r="J137" s="22">
        <f>F137 * G137 * 0</f>
        <v>0</v>
      </c>
      <c r="K137" s="22">
        <f>F137 * G137 * 62232.979221</f>
        <v>3733.9787532599998</v>
      </c>
      <c r="L137" s="22">
        <f>F137 * G137 * 15144.772864</f>
        <v>908.68637183999999</v>
      </c>
      <c r="M137" s="22">
        <f>F137 * G137 * 13074.155298</f>
        <v>784.44931787999997</v>
      </c>
      <c r="N137" s="26">
        <f>SUM(H137:M137)</f>
        <v>9521.8273369800008</v>
      </c>
      <c r="O137" s="30">
        <v>0.21781103799478455</v>
      </c>
    </row>
    <row r="138" spans="2:15" s="14" customFormat="1" ht="12.75">
      <c r="B138" s="15"/>
      <c r="C138" s="16" t="s">
        <v>342</v>
      </c>
      <c r="D138" s="48" t="s">
        <v>343</v>
      </c>
      <c r="E138" s="48"/>
      <c r="F138" s="48"/>
      <c r="G138" s="48"/>
      <c r="H138" s="48"/>
      <c r="I138" s="48"/>
      <c r="J138" s="48"/>
      <c r="K138" s="48"/>
      <c r="L138" s="48"/>
      <c r="M138" s="48"/>
      <c r="N138" s="49"/>
      <c r="O138" s="29"/>
    </row>
    <row r="139" spans="2:15" s="14" customFormat="1" ht="12.75">
      <c r="B139" s="15"/>
      <c r="C139" s="16" t="s">
        <v>344</v>
      </c>
      <c r="D139" s="50" t="s">
        <v>345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31"/>
    </row>
    <row r="140" spans="2:15" ht="38.25">
      <c r="B140" s="17">
        <v>80</v>
      </c>
      <c r="C140" s="18" t="s">
        <v>346</v>
      </c>
      <c r="D140" s="19" t="s">
        <v>347</v>
      </c>
      <c r="E140" s="19" t="s">
        <v>348</v>
      </c>
      <c r="F140" s="20">
        <v>0.3</v>
      </c>
      <c r="G140" s="21">
        <v>1</v>
      </c>
      <c r="H140" s="22">
        <f>F140 * G140 * 27687.789457</f>
        <v>8306.3368370999997</v>
      </c>
      <c r="I140" s="22">
        <f>F140 * G140 * 3020.412048</f>
        <v>906.12361440000006</v>
      </c>
      <c r="J140" s="22">
        <f>F140 * G140 * 0</f>
        <v>0</v>
      </c>
      <c r="K140" s="22">
        <f>F140 * G140 * 26358.775563</f>
        <v>7907.6326688999998</v>
      </c>
      <c r="L140" s="22">
        <f>F140 * G140 * 6604.778438</f>
        <v>1981.4335314</v>
      </c>
      <c r="M140" s="22">
        <f>F140 * G140 * 5537.557891</f>
        <v>1661.2673673000002</v>
      </c>
      <c r="N140" s="26">
        <f>SUM(H140:M140)</f>
        <v>20762.794019099998</v>
      </c>
      <c r="O140" s="30">
        <v>0.47494725087153439</v>
      </c>
    </row>
    <row r="141" spans="2:15" s="14" customFormat="1" ht="12.75">
      <c r="B141" s="15"/>
      <c r="C141" s="16" t="s">
        <v>349</v>
      </c>
      <c r="D141" s="48" t="s">
        <v>350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9"/>
      <c r="O141" s="29"/>
    </row>
    <row r="142" spans="2:15" s="14" customFormat="1" ht="12.75">
      <c r="B142" s="15"/>
      <c r="C142" s="16" t="s">
        <v>351</v>
      </c>
      <c r="D142" s="50" t="s">
        <v>352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1"/>
      <c r="O142" s="31"/>
    </row>
    <row r="143" spans="2:15">
      <c r="B143" s="17">
        <v>81</v>
      </c>
      <c r="C143" s="18" t="s">
        <v>353</v>
      </c>
      <c r="D143" s="19" t="s">
        <v>354</v>
      </c>
      <c r="E143" s="19" t="s">
        <v>355</v>
      </c>
      <c r="F143" s="20">
        <v>0.03</v>
      </c>
      <c r="G143" s="21">
        <v>0.2</v>
      </c>
      <c r="H143" s="22">
        <f>F143 * G143 * 64119.907152</f>
        <v>384.71944291200003</v>
      </c>
      <c r="I143" s="22">
        <f>F143 * G143 * 745432.847544</f>
        <v>4472.5970852640003</v>
      </c>
      <c r="J143" s="22">
        <f>F143 * G143 * 0</f>
        <v>0</v>
      </c>
      <c r="K143" s="22">
        <f>F143 * G143 * 61042.151609</f>
        <v>366.25290965400001</v>
      </c>
      <c r="L143" s="22">
        <f>F143 * G143 * 93200.692656</f>
        <v>559.20415593600001</v>
      </c>
      <c r="M143" s="22">
        <f>F143 * G143 * 12823.98143</f>
        <v>76.943888580000007</v>
      </c>
      <c r="N143" s="26">
        <f>SUM(H143:M143)</f>
        <v>5859.717482346</v>
      </c>
      <c r="O143" s="30">
        <v>0.13404056826667582</v>
      </c>
    </row>
    <row r="144" spans="2:15" s="14" customFormat="1" ht="12.75">
      <c r="B144" s="15"/>
      <c r="C144" s="16" t="s">
        <v>356</v>
      </c>
      <c r="D144" s="50" t="s">
        <v>357</v>
      </c>
      <c r="E144" s="50"/>
      <c r="F144" s="50"/>
      <c r="G144" s="50"/>
      <c r="H144" s="50"/>
      <c r="I144" s="50"/>
      <c r="J144" s="50"/>
      <c r="K144" s="50"/>
      <c r="L144" s="50"/>
      <c r="M144" s="50"/>
      <c r="N144" s="51"/>
      <c r="O144" s="31"/>
    </row>
    <row r="145" spans="2:15">
      <c r="B145" s="17">
        <v>82</v>
      </c>
      <c r="C145" s="18" t="s">
        <v>358</v>
      </c>
      <c r="D145" s="19" t="s">
        <v>359</v>
      </c>
      <c r="E145" s="19" t="s">
        <v>360</v>
      </c>
      <c r="F145" s="20">
        <v>0.03</v>
      </c>
      <c r="G145" s="21">
        <v>1</v>
      </c>
      <c r="H145" s="22">
        <f>F145 * G145 * 13151.366842</f>
        <v>394.54100525999996</v>
      </c>
      <c r="I145" s="22">
        <f>F145 * G145 * 49435.410606</f>
        <v>1483.0623181799999</v>
      </c>
      <c r="J145" s="22">
        <f>F145 * G145 * 0</f>
        <v>0</v>
      </c>
      <c r="K145" s="22">
        <f>F145 * G145 * 12520.101233</f>
        <v>375.60303698999996</v>
      </c>
      <c r="L145" s="22">
        <f>F145 * G145 * 8201.269541</f>
        <v>246.03808622999998</v>
      </c>
      <c r="M145" s="22">
        <f>F145 * G145 * 2630.273368</f>
        <v>78.908201039999994</v>
      </c>
      <c r="N145" s="26">
        <f>SUM(H145:M145)</f>
        <v>2578.1526476999998</v>
      </c>
      <c r="O145" s="30">
        <v>5.8975035403513586E-2</v>
      </c>
    </row>
    <row r="146" spans="2:15">
      <c r="B146" s="17">
        <v>83</v>
      </c>
      <c r="C146" s="18" t="s">
        <v>361</v>
      </c>
      <c r="D146" s="19" t="s">
        <v>362</v>
      </c>
      <c r="E146" s="19" t="s">
        <v>360</v>
      </c>
      <c r="F146" s="20">
        <v>0.03</v>
      </c>
      <c r="G146" s="21"/>
      <c r="H146" s="22">
        <f>F146 * G146 * 13151.366842</f>
        <v>0</v>
      </c>
      <c r="I146" s="22">
        <f>F146 * G146 * 67010.017147</f>
        <v>0</v>
      </c>
      <c r="J146" s="22">
        <f>F146 * G146 * 0</f>
        <v>0</v>
      </c>
      <c r="K146" s="22">
        <f>F146 * G146 * 12520.101233</f>
        <v>0</v>
      </c>
      <c r="L146" s="22">
        <f>F146 * G146 * 10055.390531</f>
        <v>0</v>
      </c>
      <c r="M146" s="22">
        <f>F146 * G146 * 2630.273368</f>
        <v>0</v>
      </c>
      <c r="N146" s="26">
        <f>SUM(H146:M146)</f>
        <v>0</v>
      </c>
      <c r="O146" s="30">
        <v>0</v>
      </c>
    </row>
    <row r="147" spans="2:15">
      <c r="B147" s="17">
        <v>84</v>
      </c>
      <c r="C147" s="18" t="s">
        <v>363</v>
      </c>
      <c r="D147" s="19" t="s">
        <v>364</v>
      </c>
      <c r="E147" s="19" t="s">
        <v>360</v>
      </c>
      <c r="F147" s="20">
        <v>0.03</v>
      </c>
      <c r="G147" s="21">
        <v>1</v>
      </c>
      <c r="H147" s="22">
        <f>F147 * G147 * 13151.366842</f>
        <v>394.54100525999996</v>
      </c>
      <c r="I147" s="22">
        <f>F147 * G147 * 130942.26172</f>
        <v>3928.2678515999996</v>
      </c>
      <c r="J147" s="22">
        <f>F147 * G147 * 0</f>
        <v>0</v>
      </c>
      <c r="K147" s="22">
        <f>F147 * G147 * 12520.101233</f>
        <v>375.60303698999996</v>
      </c>
      <c r="L147" s="22">
        <f>F147 * G147 * 16800.242334</f>
        <v>504.00727001999996</v>
      </c>
      <c r="M147" s="22">
        <f>F147 * G147 * 2630.273368</f>
        <v>78.908201039999994</v>
      </c>
      <c r="N147" s="26">
        <f>SUM(H147:M147)</f>
        <v>5281.3273649099992</v>
      </c>
      <c r="O147" s="30">
        <v>0.120809940637524</v>
      </c>
    </row>
    <row r="148" spans="2:15" s="14" customFormat="1" ht="12.75">
      <c r="B148" s="15"/>
      <c r="C148" s="16" t="s">
        <v>365</v>
      </c>
      <c r="D148" s="50" t="s">
        <v>366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1"/>
      <c r="O148" s="31"/>
    </row>
    <row r="149" spans="2:15" ht="25.5">
      <c r="B149" s="17">
        <v>85</v>
      </c>
      <c r="C149" s="18" t="s">
        <v>367</v>
      </c>
      <c r="D149" s="19" t="s">
        <v>368</v>
      </c>
      <c r="E149" s="19" t="s">
        <v>369</v>
      </c>
      <c r="F149" s="20">
        <v>0.06</v>
      </c>
      <c r="G149" s="21">
        <v>1</v>
      </c>
      <c r="H149" s="22">
        <f>F149 * G149 * 26239.978512</f>
        <v>1574.3987107200001</v>
      </c>
      <c r="I149" s="22">
        <f>F149 * G149 * 45307.313401</f>
        <v>2718.4388040599997</v>
      </c>
      <c r="J149" s="22">
        <f>F149 * G149 * 0</f>
        <v>0</v>
      </c>
      <c r="K149" s="22">
        <f>F149 * G149 * 24980.459544</f>
        <v>1498.82757264</v>
      </c>
      <c r="L149" s="22">
        <f>F149 * G149 * 10737.341325</f>
        <v>644.24047949999999</v>
      </c>
      <c r="M149" s="22">
        <f>F149 * G149 * 5247.995702</f>
        <v>314.87974212</v>
      </c>
      <c r="N149" s="26">
        <f>SUM(H149:M149)</f>
        <v>6750.7853090399994</v>
      </c>
      <c r="O149" s="30">
        <v>0.15442367346143288</v>
      </c>
    </row>
    <row r="150" spans="2:15" s="11" customFormat="1" ht="15">
      <c r="B150" s="12"/>
      <c r="C150" s="13" t="s">
        <v>370</v>
      </c>
      <c r="D150" s="46" t="s">
        <v>371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7"/>
      <c r="O150" s="28"/>
    </row>
    <row r="151" spans="2:15" s="14" customFormat="1" ht="12.75">
      <c r="B151" s="15"/>
      <c r="C151" s="16" t="s">
        <v>372</v>
      </c>
      <c r="D151" s="48" t="s">
        <v>373</v>
      </c>
      <c r="E151" s="48"/>
      <c r="F151" s="48"/>
      <c r="G151" s="48"/>
      <c r="H151" s="48"/>
      <c r="I151" s="48"/>
      <c r="J151" s="48"/>
      <c r="K151" s="48"/>
      <c r="L151" s="48"/>
      <c r="M151" s="48"/>
      <c r="N151" s="49"/>
      <c r="O151" s="29"/>
    </row>
    <row r="152" spans="2:15" s="14" customFormat="1" ht="12.75">
      <c r="B152" s="15"/>
      <c r="C152" s="16" t="s">
        <v>374</v>
      </c>
      <c r="D152" s="50" t="s">
        <v>375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1"/>
      <c r="O152" s="31"/>
    </row>
    <row r="153" spans="2:15" ht="38.25">
      <c r="B153" s="17">
        <v>86</v>
      </c>
      <c r="C153" s="18" t="s">
        <v>376</v>
      </c>
      <c r="D153" s="19" t="s">
        <v>377</v>
      </c>
      <c r="E153" s="19" t="s">
        <v>378</v>
      </c>
      <c r="F153" s="20">
        <v>0.09</v>
      </c>
      <c r="G153" s="21">
        <v>1</v>
      </c>
      <c r="H153" s="22">
        <f>F153 * G153 * 19671.071516</f>
        <v>1770.3964364399999</v>
      </c>
      <c r="I153" s="22">
        <f>F153 * G153 * 16818.553546</f>
        <v>1513.6698191399998</v>
      </c>
      <c r="J153" s="22">
        <f>F153 * G153 * 0</f>
        <v>0</v>
      </c>
      <c r="K153" s="22">
        <f>F153 * G153 * 18726.860083</f>
        <v>1685.4174074699999</v>
      </c>
      <c r="L153" s="22">
        <f>F153 * G153 * 6240.398792</f>
        <v>561.63589128000001</v>
      </c>
      <c r="M153" s="22">
        <f>F153 * G153 * 3934.214303</f>
        <v>354.07928727000001</v>
      </c>
      <c r="N153" s="26">
        <f>SUM(H153:M153)</f>
        <v>5885.1988415999995</v>
      </c>
      <c r="O153" s="30">
        <v>0.13462345231951686</v>
      </c>
    </row>
    <row r="154" spans="2:15" ht="38.25">
      <c r="B154" s="17">
        <v>87</v>
      </c>
      <c r="C154" s="18" t="s">
        <v>379</v>
      </c>
      <c r="D154" s="19" t="s">
        <v>380</v>
      </c>
      <c r="E154" s="19" t="s">
        <v>378</v>
      </c>
      <c r="F154" s="20">
        <v>0.06</v>
      </c>
      <c r="G154" s="21">
        <v>1</v>
      </c>
      <c r="H154" s="22">
        <f>F154 * G154 * 26449.4617</f>
        <v>1586.9677019999999</v>
      </c>
      <c r="I154" s="22">
        <f>F154 * G154 * 34111.808111</f>
        <v>2046.7084866599998</v>
      </c>
      <c r="J154" s="22">
        <f>F154 * G154 * 0</f>
        <v>0</v>
      </c>
      <c r="K154" s="22">
        <f>F154 * G154 * 25179.887538</f>
        <v>1510.7932522799999</v>
      </c>
      <c r="L154" s="22">
        <f>F154 * G154 * 9603.775742</f>
        <v>576.22654451999995</v>
      </c>
      <c r="M154" s="22">
        <f>F154 * G154 * 5289.89234</f>
        <v>317.39354040000001</v>
      </c>
      <c r="N154" s="26">
        <f>SUM(H154:M154)</f>
        <v>6038.0895258600003</v>
      </c>
      <c r="O154" s="30">
        <v>0.13812081448119681</v>
      </c>
    </row>
    <row r="155" spans="2:15" ht="38.25">
      <c r="B155" s="17">
        <v>88</v>
      </c>
      <c r="C155" s="18" t="s">
        <v>381</v>
      </c>
      <c r="D155" s="19" t="s">
        <v>382</v>
      </c>
      <c r="E155" s="19" t="s">
        <v>378</v>
      </c>
      <c r="F155" s="20">
        <v>0.06</v>
      </c>
      <c r="G155" s="21">
        <v>1</v>
      </c>
      <c r="H155" s="22">
        <f>F155 * G155 * 30892.055267</f>
        <v>1853.5233160199998</v>
      </c>
      <c r="I155" s="22">
        <f>F155 * G155 * 51647.285431</f>
        <v>3098.8371258599996</v>
      </c>
      <c r="J155" s="22">
        <f>F155 * G155 * 0</f>
        <v>0</v>
      </c>
      <c r="K155" s="22">
        <f>F155 * G155 * 29409.236615</f>
        <v>1764.5541969000001</v>
      </c>
      <c r="L155" s="22">
        <f>F155 * G155 * 12462.397273</f>
        <v>747.74383637999995</v>
      </c>
      <c r="M155" s="22">
        <f>F155 * G155 * 6178.411053</f>
        <v>370.70466317999995</v>
      </c>
      <c r="N155" s="26">
        <f>SUM(H155:M155)</f>
        <v>7835.3631383399998</v>
      </c>
      <c r="O155" s="30">
        <v>0.17923330447296185</v>
      </c>
    </row>
    <row r="156" spans="2:15" s="14" customFormat="1" ht="12.75">
      <c r="B156" s="15"/>
      <c r="C156" s="16" t="s">
        <v>383</v>
      </c>
      <c r="D156" s="50" t="s">
        <v>384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1"/>
      <c r="O156" s="31"/>
    </row>
    <row r="157" spans="2:15" ht="38.25">
      <c r="B157" s="17">
        <v>89</v>
      </c>
      <c r="C157" s="18" t="s">
        <v>385</v>
      </c>
      <c r="D157" s="19" t="s">
        <v>386</v>
      </c>
      <c r="E157" s="19" t="s">
        <v>387</v>
      </c>
      <c r="F157" s="20">
        <v>0.06</v>
      </c>
      <c r="G157" s="21">
        <v>1</v>
      </c>
      <c r="H157" s="22">
        <f>F157 * G157 * 8294.645851</f>
        <v>497.67875105999997</v>
      </c>
      <c r="I157" s="22">
        <f>F157 * G157 * 80378.50512</f>
        <v>4822.7103072</v>
      </c>
      <c r="J157" s="22">
        <f>F157 * G157 * 0</f>
        <v>0</v>
      </c>
      <c r="K157" s="22">
        <f>F157 * G157 * 7896.50285</f>
        <v>473.79017099999999</v>
      </c>
      <c r="L157" s="22">
        <f>F157 * G157 * 10363.115506</f>
        <v>621.78693035999993</v>
      </c>
      <c r="M157" s="22">
        <f>F157 * G157 * 1658.92917</f>
        <v>99.53575020000001</v>
      </c>
      <c r="N157" s="26">
        <f>SUM(H157:M157)</f>
        <v>6515.5019098199991</v>
      </c>
      <c r="O157" s="30">
        <v>0.14904158454158659</v>
      </c>
    </row>
    <row r="158" spans="2:15" s="14" customFormat="1" ht="12.75">
      <c r="B158" s="15"/>
      <c r="C158" s="16" t="s">
        <v>388</v>
      </c>
      <c r="D158" s="50" t="s">
        <v>389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1"/>
      <c r="O158" s="31"/>
    </row>
    <row r="159" spans="2:15">
      <c r="B159" s="17">
        <v>90</v>
      </c>
      <c r="C159" s="18" t="s">
        <v>390</v>
      </c>
      <c r="D159" s="19" t="s">
        <v>391</v>
      </c>
      <c r="E159" s="19" t="s">
        <v>392</v>
      </c>
      <c r="F159" s="20">
        <v>0.12</v>
      </c>
      <c r="G159" s="21">
        <v>1</v>
      </c>
      <c r="H159" s="22">
        <f>F159 * G159 * 7258.542853</f>
        <v>871.0251423599999</v>
      </c>
      <c r="I159" s="22">
        <f>F159 * G159 * 9756.589459</f>
        <v>1170.7907350800001</v>
      </c>
      <c r="J159" s="22">
        <f>F159 * G159 * 0</f>
        <v>0</v>
      </c>
      <c r="K159" s="22">
        <f>F159 * G159 * 6910.132796</f>
        <v>829.2159355199999</v>
      </c>
      <c r="L159" s="22">
        <f>F159 * G159 * 2677.270723</f>
        <v>321.27248675999999</v>
      </c>
      <c r="M159" s="22">
        <f>F159 * G159 * 1451.708571</f>
        <v>174.20502851999998</v>
      </c>
      <c r="N159" s="26">
        <f>SUM(H159:M159)</f>
        <v>3366.5093282399998</v>
      </c>
      <c r="O159" s="30">
        <v>7.700863135328026E-2</v>
      </c>
    </row>
    <row r="160" spans="2:15" s="14" customFormat="1" ht="12.75">
      <c r="B160" s="15"/>
      <c r="C160" s="16" t="s">
        <v>393</v>
      </c>
      <c r="D160" s="50" t="s">
        <v>394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1"/>
      <c r="O160" s="31"/>
    </row>
    <row r="161" spans="2:15" ht="38.25">
      <c r="B161" s="17">
        <v>91</v>
      </c>
      <c r="C161" s="18" t="s">
        <v>395</v>
      </c>
      <c r="D161" s="19" t="s">
        <v>396</v>
      </c>
      <c r="E161" s="19" t="s">
        <v>397</v>
      </c>
      <c r="F161" s="20">
        <v>12</v>
      </c>
      <c r="G161" s="21">
        <v>1</v>
      </c>
      <c r="H161" s="22">
        <f>F161 * G161 * 29.14335</f>
        <v>349.72020000000003</v>
      </c>
      <c r="I161" s="22">
        <f>F161 * G161 * 4.880202</f>
        <v>58.562423999999993</v>
      </c>
      <c r="J161" s="22">
        <f>F161 * G161 * 0</f>
        <v>0</v>
      </c>
      <c r="K161" s="22">
        <f>F161 * G161 * 27.74447</f>
        <v>332.93363999999997</v>
      </c>
      <c r="L161" s="22">
        <f>F161 * G161 * 7.13145</f>
        <v>85.577399999999997</v>
      </c>
      <c r="M161" s="22">
        <f>F161 * G161 * 5.82867</f>
        <v>69.944040000000001</v>
      </c>
      <c r="N161" s="26">
        <f>SUM(H161:M161)</f>
        <v>896.73770400000001</v>
      </c>
      <c r="O161" s="30">
        <v>2.0512803184188855E-2</v>
      </c>
    </row>
    <row r="162" spans="2:15" ht="25.5">
      <c r="B162" s="17">
        <v>92</v>
      </c>
      <c r="C162" s="18" t="s">
        <v>398</v>
      </c>
      <c r="D162" s="19" t="s">
        <v>399</v>
      </c>
      <c r="E162" s="19" t="s">
        <v>400</v>
      </c>
      <c r="F162" s="20">
        <v>0.06</v>
      </c>
      <c r="G162" s="21">
        <v>1</v>
      </c>
      <c r="H162" s="22">
        <f>F162 * G162 * 21248.768653</f>
        <v>1274.9261191799999</v>
      </c>
      <c r="I162" s="22">
        <f>F162 * G162 * 316783.75086</f>
        <v>19007.025051599998</v>
      </c>
      <c r="J162" s="22">
        <f>F162 * G162 * 0</f>
        <v>0</v>
      </c>
      <c r="K162" s="22">
        <f>F162 * G162 * 20228.827757</f>
        <v>1213.7296654199999</v>
      </c>
      <c r="L162" s="22">
        <f>F162 * G162 * 38244.921156</f>
        <v>2294.6952693599997</v>
      </c>
      <c r="M162" s="22">
        <f>F162 * G162 * 4249.753731</f>
        <v>254.98522385999999</v>
      </c>
      <c r="N162" s="26">
        <f>SUM(H162:M162)</f>
        <v>24045.361329419997</v>
      </c>
      <c r="O162" s="30">
        <v>0.5500357152854789</v>
      </c>
    </row>
    <row r="163" spans="2:15" s="14" customFormat="1" ht="12.75">
      <c r="B163" s="15"/>
      <c r="C163" s="16" t="s">
        <v>401</v>
      </c>
      <c r="D163" s="48" t="s">
        <v>402</v>
      </c>
      <c r="E163" s="48"/>
      <c r="F163" s="48"/>
      <c r="G163" s="48"/>
      <c r="H163" s="48"/>
      <c r="I163" s="48"/>
      <c r="J163" s="48"/>
      <c r="K163" s="48"/>
      <c r="L163" s="48"/>
      <c r="M163" s="48"/>
      <c r="N163" s="49"/>
      <c r="O163" s="29"/>
    </row>
    <row r="164" spans="2:15" s="14" customFormat="1" ht="12.75">
      <c r="B164" s="15"/>
      <c r="C164" s="16" t="s">
        <v>403</v>
      </c>
      <c r="D164" s="50" t="s">
        <v>404</v>
      </c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31"/>
    </row>
    <row r="165" spans="2:15" ht="38.25">
      <c r="B165" s="17">
        <v>93</v>
      </c>
      <c r="C165" s="18" t="s">
        <v>405</v>
      </c>
      <c r="D165" s="19" t="s">
        <v>406</v>
      </c>
      <c r="E165" s="19" t="s">
        <v>96</v>
      </c>
      <c r="F165" s="20">
        <v>0.3</v>
      </c>
      <c r="G165" s="21">
        <v>1</v>
      </c>
      <c r="H165" s="22">
        <f>F165 * G165 * 9513.057914</f>
        <v>2853.9173742000003</v>
      </c>
      <c r="I165" s="22">
        <f>F165 * G165 * 1758.95491</f>
        <v>527.68647299999998</v>
      </c>
      <c r="J165" s="22">
        <f>F165 * G165 * 0</f>
        <v>0</v>
      </c>
      <c r="K165" s="22">
        <f>F165 * G165 * 9056.431134</f>
        <v>2716.9293401999998</v>
      </c>
      <c r="L165" s="22">
        <f>F165 * G165 * 2345.37636</f>
        <v>703.61290800000006</v>
      </c>
      <c r="M165" s="22">
        <f>F165 * G165 * 1902.611583</f>
        <v>570.78347489999999</v>
      </c>
      <c r="N165" s="26">
        <f>SUM(H165:M165)</f>
        <v>7372.9295703000007</v>
      </c>
      <c r="O165" s="30">
        <v>0.16865517362750482</v>
      </c>
    </row>
    <row r="166" spans="2:15" s="14" customFormat="1" ht="12.75">
      <c r="B166" s="15"/>
      <c r="C166" s="16" t="s">
        <v>407</v>
      </c>
      <c r="D166" s="50" t="s">
        <v>408</v>
      </c>
      <c r="E166" s="50"/>
      <c r="F166" s="50"/>
      <c r="G166" s="50"/>
      <c r="H166" s="50"/>
      <c r="I166" s="50"/>
      <c r="J166" s="50"/>
      <c r="K166" s="50"/>
      <c r="L166" s="50"/>
      <c r="M166" s="50"/>
      <c r="N166" s="51"/>
      <c r="O166" s="31"/>
    </row>
    <row r="167" spans="2:15" ht="25.5">
      <c r="B167" s="17">
        <v>94</v>
      </c>
      <c r="C167" s="18" t="s">
        <v>409</v>
      </c>
      <c r="D167" s="19" t="s">
        <v>410</v>
      </c>
      <c r="E167" s="19" t="s">
        <v>96</v>
      </c>
      <c r="F167" s="20">
        <v>0.15</v>
      </c>
      <c r="G167" s="21">
        <v>1</v>
      </c>
      <c r="H167" s="22">
        <f>F167 * G167 * 471.703403</f>
        <v>70.755510449999989</v>
      </c>
      <c r="I167" s="22">
        <f>F167 * G167 * 0</f>
        <v>0</v>
      </c>
      <c r="J167" s="22">
        <f>F167 * G167 * 0</f>
        <v>0</v>
      </c>
      <c r="K167" s="22">
        <f>F167 * G167 * 449.06164</f>
        <v>67.359245999999999</v>
      </c>
      <c r="L167" s="22">
        <f>F167 * G167 * 107.093654</f>
        <v>16.064048100000001</v>
      </c>
      <c r="M167" s="22">
        <f>F167 * G167 * 94.340681</f>
        <v>14.15110215</v>
      </c>
      <c r="N167" s="26">
        <f>SUM(H167:M167)</f>
        <v>168.32990669999998</v>
      </c>
      <c r="O167" s="30">
        <v>3.8505331388965134E-3</v>
      </c>
    </row>
    <row r="168" spans="2:15" ht="25.5">
      <c r="B168" s="17">
        <v>95</v>
      </c>
      <c r="C168" s="18" t="s">
        <v>411</v>
      </c>
      <c r="D168" s="19" t="s">
        <v>412</v>
      </c>
      <c r="E168" s="19" t="s">
        <v>96</v>
      </c>
      <c r="F168" s="20">
        <v>0.06</v>
      </c>
      <c r="G168" s="21">
        <v>1</v>
      </c>
      <c r="H168" s="22">
        <f>F168 * G168 * 13405.941132</f>
        <v>804.35646792</v>
      </c>
      <c r="I168" s="22">
        <f>F168 * G168 * 2206.413052</f>
        <v>132.38478311999998</v>
      </c>
      <c r="J168" s="22">
        <f>F168 * G168 * 0</f>
        <v>0</v>
      </c>
      <c r="K168" s="22">
        <f>F168 * G168 * 12762.455958</f>
        <v>765.74735748000001</v>
      </c>
      <c r="L168" s="22">
        <f>F168 * G168 * 3276.407828</f>
        <v>196.58446967999998</v>
      </c>
      <c r="M168" s="22">
        <f>F168 * G168 * 2681.188226</f>
        <v>160.87129356</v>
      </c>
      <c r="N168" s="26">
        <f>SUM(H168:M168)</f>
        <v>2059.9443717600002</v>
      </c>
      <c r="O168" s="30">
        <v>4.7121062580290973E-2</v>
      </c>
    </row>
    <row r="169" spans="2:15" s="14" customFormat="1" ht="12.75">
      <c r="B169" s="15"/>
      <c r="C169" s="16" t="s">
        <v>413</v>
      </c>
      <c r="D169" s="48" t="s">
        <v>414</v>
      </c>
      <c r="E169" s="48"/>
      <c r="F169" s="48"/>
      <c r="G169" s="48"/>
      <c r="H169" s="48"/>
      <c r="I169" s="48"/>
      <c r="J169" s="48"/>
      <c r="K169" s="48"/>
      <c r="L169" s="48"/>
      <c r="M169" s="48"/>
      <c r="N169" s="49"/>
      <c r="O169" s="29"/>
    </row>
    <row r="170" spans="2:15" ht="25.5">
      <c r="B170" s="17">
        <v>96</v>
      </c>
      <c r="C170" s="18" t="s">
        <v>415</v>
      </c>
      <c r="D170" s="19" t="s">
        <v>416</v>
      </c>
      <c r="E170" s="19" t="s">
        <v>36</v>
      </c>
      <c r="F170" s="20">
        <v>0.06</v>
      </c>
      <c r="G170" s="21">
        <v>1</v>
      </c>
      <c r="H170" s="22">
        <f>F170 * G170 * 19322.165995</f>
        <v>1159.3299597</v>
      </c>
      <c r="I170" s="22">
        <f>F170 * G170 * 27976.52337</f>
        <v>1678.5914021999999</v>
      </c>
      <c r="J170" s="22">
        <f>F170 * G170 * 0</f>
        <v>0</v>
      </c>
      <c r="K170" s="22">
        <f>F170 * G170 * 18394.702027</f>
        <v>1103.6821216199999</v>
      </c>
      <c r="L170" s="22">
        <f>F170 * G170 * 7338.350494</f>
        <v>440.30102964000002</v>
      </c>
      <c r="M170" s="22">
        <f>F170 * G170 * 3864.433199</f>
        <v>231.86599193999999</v>
      </c>
      <c r="N170" s="26">
        <f>SUM(H170:M170)</f>
        <v>4613.7705050999994</v>
      </c>
      <c r="O170" s="30">
        <v>0.10553963091545428</v>
      </c>
    </row>
    <row r="171" spans="2:15" ht="25.5">
      <c r="B171" s="17">
        <v>97</v>
      </c>
      <c r="C171" s="18" t="s">
        <v>417</v>
      </c>
      <c r="D171" s="19" t="s">
        <v>418</v>
      </c>
      <c r="E171" s="19" t="s">
        <v>36</v>
      </c>
      <c r="F171" s="20">
        <v>0.03</v>
      </c>
      <c r="G171" s="21">
        <v>1</v>
      </c>
      <c r="H171" s="22">
        <f>F171 * G171 * 24570.161698</f>
        <v>737.10485094000001</v>
      </c>
      <c r="I171" s="22">
        <f>F171 * G171 * 60577.136641</f>
        <v>1817.3140992299998</v>
      </c>
      <c r="J171" s="22">
        <f>F171 * G171 * 0</f>
        <v>0</v>
      </c>
      <c r="K171" s="22">
        <f>F171 * G171 * 23390.793937</f>
        <v>701.72381810999991</v>
      </c>
      <c r="L171" s="22">
        <f>F171 * G171 * 11969.199147</f>
        <v>359.07597440999996</v>
      </c>
      <c r="M171" s="22">
        <f>F171 * G171 * 4914.03234</f>
        <v>147.4209702</v>
      </c>
      <c r="N171" s="26">
        <f>SUM(H171:M171)</f>
        <v>3762.6397128899994</v>
      </c>
      <c r="O171" s="30">
        <v>8.6070082187071073E-2</v>
      </c>
    </row>
    <row r="172" spans="2:15" s="11" customFormat="1" ht="15">
      <c r="B172" s="12"/>
      <c r="C172" s="13" t="s">
        <v>419</v>
      </c>
      <c r="D172" s="46" t="s">
        <v>420</v>
      </c>
      <c r="E172" s="46"/>
      <c r="F172" s="46"/>
      <c r="G172" s="46"/>
      <c r="H172" s="46"/>
      <c r="I172" s="46"/>
      <c r="J172" s="46"/>
      <c r="K172" s="46"/>
      <c r="L172" s="46"/>
      <c r="M172" s="46"/>
      <c r="N172" s="47"/>
      <c r="O172" s="28"/>
    </row>
    <row r="173" spans="2:15" s="14" customFormat="1" ht="12.75">
      <c r="B173" s="15"/>
      <c r="C173" s="16" t="s">
        <v>421</v>
      </c>
      <c r="D173" s="48" t="s">
        <v>422</v>
      </c>
      <c r="E173" s="48"/>
      <c r="F173" s="48"/>
      <c r="G173" s="48"/>
      <c r="H173" s="48"/>
      <c r="I173" s="48"/>
      <c r="J173" s="48"/>
      <c r="K173" s="48"/>
      <c r="L173" s="48"/>
      <c r="M173" s="48"/>
      <c r="N173" s="49"/>
      <c r="O173" s="29"/>
    </row>
    <row r="174" spans="2:15" ht="38.25">
      <c r="B174" s="17">
        <v>98</v>
      </c>
      <c r="C174" s="18" t="s">
        <v>423</v>
      </c>
      <c r="D174" s="19" t="s">
        <v>424</v>
      </c>
      <c r="E174" s="19" t="s">
        <v>378</v>
      </c>
      <c r="F174" s="20">
        <v>1.05</v>
      </c>
      <c r="G174" s="21">
        <v>0.1</v>
      </c>
      <c r="H174" s="22">
        <f>F174 * G174 * 15959.396123</f>
        <v>1675.7365929150003</v>
      </c>
      <c r="I174" s="22">
        <f>F174 * G174 * 69152.472644</f>
        <v>7261.0096276200002</v>
      </c>
      <c r="J174" s="22">
        <f>F174 * G174 * 0</f>
        <v>0</v>
      </c>
      <c r="K174" s="22">
        <f>F174 * G174 * 15193.345109</f>
        <v>1595.3012364450001</v>
      </c>
      <c r="L174" s="22">
        <f>F174 * G174 * 10918.943323</f>
        <v>1146.489048915</v>
      </c>
      <c r="M174" s="22">
        <f>F174 * G174 * 3191.879225</f>
        <v>335.14731862500003</v>
      </c>
      <c r="N174" s="26">
        <f>SUM(H174:M174)</f>
        <v>12013.683824520002</v>
      </c>
      <c r="O174" s="30">
        <v>0.27481205564370031</v>
      </c>
    </row>
    <row r="175" spans="2:15" ht="38.25">
      <c r="B175" s="17">
        <v>99</v>
      </c>
      <c r="C175" s="18" t="s">
        <v>425</v>
      </c>
      <c r="D175" s="19" t="s">
        <v>426</v>
      </c>
      <c r="E175" s="19" t="s">
        <v>378</v>
      </c>
      <c r="F175" s="20">
        <v>0.78</v>
      </c>
      <c r="G175" s="21">
        <v>0.1</v>
      </c>
      <c r="H175" s="22">
        <f>F175 * G175 * 15057.007004</f>
        <v>1174.4465463120002</v>
      </c>
      <c r="I175" s="22">
        <f>F175 * G175 * 23380.028364</f>
        <v>1823.6422123920004</v>
      </c>
      <c r="J175" s="22">
        <f>F175 * G175 * 0</f>
        <v>0</v>
      </c>
      <c r="K175" s="22">
        <f>F175 * G175 * 14334.270668</f>
        <v>1118.0731121040001</v>
      </c>
      <c r="L175" s="22">
        <f>F175 * G175 * 5885.075634</f>
        <v>459.03589945200008</v>
      </c>
      <c r="M175" s="22">
        <f>F175 * G175 * 3011.401401</f>
        <v>234.88930927800004</v>
      </c>
      <c r="N175" s="26">
        <f>SUM(H175:M175)</f>
        <v>4810.0870795380006</v>
      </c>
      <c r="O175" s="30">
        <v>0.11003035683818284</v>
      </c>
    </row>
    <row r="176" spans="2:15" ht="38.25">
      <c r="B176" s="17">
        <v>100</v>
      </c>
      <c r="C176" s="18" t="s">
        <v>427</v>
      </c>
      <c r="D176" s="19" t="s">
        <v>428</v>
      </c>
      <c r="E176" s="19" t="s">
        <v>378</v>
      </c>
      <c r="F176" s="20">
        <v>0.9</v>
      </c>
      <c r="G176" s="21">
        <v>0.1</v>
      </c>
      <c r="H176" s="22">
        <f>F176 * G176 * 15959.396123</f>
        <v>1436.3456510700003</v>
      </c>
      <c r="I176" s="22">
        <f>F176 * G176 * 69152.472644</f>
        <v>6223.7225379600004</v>
      </c>
      <c r="J176" s="22">
        <f>F176 * G176 * 0</f>
        <v>0</v>
      </c>
      <c r="K176" s="22">
        <f>F176 * G176 * 15193.345109</f>
        <v>1367.4010598100001</v>
      </c>
      <c r="L176" s="22">
        <f>F176 * G176 * 10918.943323</f>
        <v>982.70489907000012</v>
      </c>
      <c r="M176" s="22">
        <f>F176 * G176 * 3191.879225</f>
        <v>287.26913025000005</v>
      </c>
      <c r="N176" s="26">
        <f>SUM(H176:M176)</f>
        <v>10297.443278160001</v>
      </c>
      <c r="O176" s="30">
        <v>0.23555319055174309</v>
      </c>
    </row>
    <row r="177" spans="2:15" s="14" customFormat="1" ht="12.75">
      <c r="B177" s="15"/>
      <c r="C177" s="16" t="s">
        <v>429</v>
      </c>
      <c r="D177" s="48" t="s">
        <v>430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9"/>
      <c r="O177" s="29"/>
    </row>
    <row r="178" spans="2:15" ht="38.25">
      <c r="B178" s="17">
        <v>101</v>
      </c>
      <c r="C178" s="18" t="s">
        <v>431</v>
      </c>
      <c r="D178" s="19" t="s">
        <v>432</v>
      </c>
      <c r="E178" s="19" t="s">
        <v>378</v>
      </c>
      <c r="F178" s="20">
        <v>0.36</v>
      </c>
      <c r="G178" s="21">
        <v>0.1</v>
      </c>
      <c r="H178" s="22">
        <f>F178 * G178 * 56927.862098</f>
        <v>2049.4030355279997</v>
      </c>
      <c r="I178" s="22">
        <f>F178 * G178 * 174067.556762</f>
        <v>6266.4320434319989</v>
      </c>
      <c r="J178" s="22">
        <f>F178 * G178 * 0</f>
        <v>0</v>
      </c>
      <c r="K178" s="22">
        <f>F178 * G178 * 54195.324718</f>
        <v>1951.031689848</v>
      </c>
      <c r="L178" s="22">
        <f>F178 * G178 * 31288.801338</f>
        <v>1126.3968481679999</v>
      </c>
      <c r="M178" s="22">
        <f>F178 * G178 * 11385.57242</f>
        <v>409.88060711999998</v>
      </c>
      <c r="N178" s="26">
        <f>SUM(H178:M178)</f>
        <v>11803.144224095999</v>
      </c>
      <c r="O178" s="30">
        <v>0.26999597914026896</v>
      </c>
    </row>
    <row r="179" spans="2:15" ht="38.25">
      <c r="B179" s="17">
        <v>102</v>
      </c>
      <c r="C179" s="18" t="s">
        <v>433</v>
      </c>
      <c r="D179" s="19" t="s">
        <v>434</v>
      </c>
      <c r="E179" s="19" t="s">
        <v>378</v>
      </c>
      <c r="F179" s="20">
        <v>0.33</v>
      </c>
      <c r="G179" s="21">
        <v>0.1</v>
      </c>
      <c r="H179" s="22">
        <f>F179 * G179 * 60202.24547</f>
        <v>1986.6741005100002</v>
      </c>
      <c r="I179" s="22">
        <f>F179 * G179 * 310457.843239</f>
        <v>10245.108826887001</v>
      </c>
      <c r="J179" s="22">
        <f>F179 * G179 * 0</f>
        <v>0</v>
      </c>
      <c r="K179" s="22">
        <f>F179 * G179 * 57312.537688</f>
        <v>1891.313743704</v>
      </c>
      <c r="L179" s="22">
        <f>F179 * G179 * 46421.3794639999</f>
        <v>1531.9055223119999</v>
      </c>
      <c r="M179" s="22">
        <f>F179 * G179 * 12040.449094</f>
        <v>397.33482010199998</v>
      </c>
      <c r="N179" s="26">
        <f>SUM(H179:M179)</f>
        <v>16052.337013515002</v>
      </c>
      <c r="O179" s="30">
        <v>0.36719592399842166</v>
      </c>
    </row>
    <row r="180" spans="2:15" s="14" customFormat="1" ht="12.75">
      <c r="B180" s="15"/>
      <c r="C180" s="16" t="s">
        <v>435</v>
      </c>
      <c r="D180" s="48" t="s">
        <v>436</v>
      </c>
      <c r="E180" s="48"/>
      <c r="F180" s="48"/>
      <c r="G180" s="48"/>
      <c r="H180" s="48"/>
      <c r="I180" s="48"/>
      <c r="J180" s="48"/>
      <c r="K180" s="48"/>
      <c r="L180" s="48"/>
      <c r="M180" s="48"/>
      <c r="N180" s="49"/>
      <c r="O180" s="29"/>
    </row>
    <row r="181" spans="2:15" s="14" customFormat="1" ht="12.75">
      <c r="B181" s="15"/>
      <c r="C181" s="16" t="s">
        <v>437</v>
      </c>
      <c r="D181" s="50" t="s">
        <v>438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1"/>
      <c r="O181" s="31"/>
    </row>
    <row r="182" spans="2:15" ht="25.5">
      <c r="B182" s="17">
        <v>103</v>
      </c>
      <c r="C182" s="18" t="s">
        <v>439</v>
      </c>
      <c r="D182" s="19" t="s">
        <v>440</v>
      </c>
      <c r="E182" s="19" t="s">
        <v>441</v>
      </c>
      <c r="F182" s="20">
        <v>0.09</v>
      </c>
      <c r="G182" s="21">
        <v>1</v>
      </c>
      <c r="H182" s="22">
        <f>F182 * G182 * 10312.26241</f>
        <v>928.10361689999991</v>
      </c>
      <c r="I182" s="22">
        <f>F182 * G182 * 2453.381322</f>
        <v>220.80431898000001</v>
      </c>
      <c r="J182" s="22">
        <f>F182 * G182 * 0</f>
        <v>0</v>
      </c>
      <c r="K182" s="22">
        <f>F182 * G182 * 9817.273815</f>
        <v>883.55464334999999</v>
      </c>
      <c r="L182" s="22">
        <f>F182 * G182 * 2600.086538</f>
        <v>234.00778842</v>
      </c>
      <c r="M182" s="22">
        <f>F182 * G182 * 2062.452482</f>
        <v>185.62072338000002</v>
      </c>
      <c r="N182" s="26">
        <f>SUM(H182:M182)</f>
        <v>2452.0910910299999</v>
      </c>
      <c r="O182" s="30">
        <v>5.6091387387455394E-2</v>
      </c>
    </row>
    <row r="183" spans="2:15" ht="25.5">
      <c r="B183" s="17">
        <v>104</v>
      </c>
      <c r="C183" s="18" t="s">
        <v>442</v>
      </c>
      <c r="D183" s="19" t="s">
        <v>443</v>
      </c>
      <c r="E183" s="19" t="s">
        <v>441</v>
      </c>
      <c r="F183" s="20">
        <v>0.06</v>
      </c>
      <c r="G183" s="21">
        <v>1</v>
      </c>
      <c r="H183" s="22">
        <f>F183 * G183 * 13002.417821</f>
        <v>780.1450692599999</v>
      </c>
      <c r="I183" s="22">
        <f>F183 * G183 * 3908.797385</f>
        <v>234.52784309999998</v>
      </c>
      <c r="J183" s="22">
        <f>F183 * G183 * 0</f>
        <v>0</v>
      </c>
      <c r="K183" s="22">
        <f>F183 * G183 * 12378.3017659999</f>
        <v>742.698105959994</v>
      </c>
      <c r="L183" s="22">
        <f>F183 * G183 * 3364.39505699999</f>
        <v>201.86370341999941</v>
      </c>
      <c r="M183" s="22">
        <f>F183 * G183 * 2600.483564</f>
        <v>156.02901384</v>
      </c>
      <c r="N183" s="26">
        <f>SUM(H183:M183)</f>
        <v>2115.263735579993</v>
      </c>
      <c r="O183" s="30">
        <v>4.8386488598682248E-2</v>
      </c>
    </row>
    <row r="184" spans="2:15" ht="25.5">
      <c r="B184" s="17">
        <v>105</v>
      </c>
      <c r="C184" s="18" t="s">
        <v>444</v>
      </c>
      <c r="D184" s="19" t="s">
        <v>445</v>
      </c>
      <c r="E184" s="19" t="s">
        <v>446</v>
      </c>
      <c r="F184" s="20">
        <v>0.6</v>
      </c>
      <c r="G184" s="21">
        <v>1</v>
      </c>
      <c r="H184" s="22">
        <f>F184 * G184 * 2264.214138</f>
        <v>1358.5284827999999</v>
      </c>
      <c r="I184" s="22">
        <f>F184 * G184 * 1249.269588</f>
        <v>749.56175280000002</v>
      </c>
      <c r="J184" s="22">
        <f>F184 * G184 * 0</f>
        <v>0</v>
      </c>
      <c r="K184" s="22">
        <f>F184 * G184 * 2155.53186</f>
        <v>1293.3191159999999</v>
      </c>
      <c r="L184" s="22">
        <f>F184 * G184 * 645.856063</f>
        <v>387.51363779999997</v>
      </c>
      <c r="M184" s="22">
        <f>F184 * G184 * 452.842828</f>
        <v>271.7056968</v>
      </c>
      <c r="N184" s="26">
        <f>SUM(H184:M184)</f>
        <v>4060.6286861999993</v>
      </c>
      <c r="O184" s="30">
        <v>9.288655609387865E-2</v>
      </c>
    </row>
    <row r="185" spans="2:15" ht="25.5">
      <c r="B185" s="17">
        <v>106</v>
      </c>
      <c r="C185" s="18" t="s">
        <v>447</v>
      </c>
      <c r="D185" s="19" t="s">
        <v>448</v>
      </c>
      <c r="E185" s="19" t="s">
        <v>449</v>
      </c>
      <c r="F185" s="20">
        <v>0.03</v>
      </c>
      <c r="G185" s="21">
        <v>1</v>
      </c>
      <c r="H185" s="22">
        <f>F185 * G185 * 6949.568146</f>
        <v>208.48704437999999</v>
      </c>
      <c r="I185" s="22">
        <f>F185 * G185 * 70998.122544</f>
        <v>2129.9436763199997</v>
      </c>
      <c r="J185" s="22">
        <f>F185 * G185 * 0</f>
        <v>0</v>
      </c>
      <c r="K185" s="22">
        <f>F185 * G185 * 6615.988875</f>
        <v>198.47966624999998</v>
      </c>
      <c r="L185" s="22">
        <f>F185 * G185 * 9068.104082</f>
        <v>272.04312246000001</v>
      </c>
      <c r="M185" s="22">
        <f>F185 * G185 * 1389.913629</f>
        <v>41.697408869999997</v>
      </c>
      <c r="N185" s="26">
        <f>SUM(H185:M185)</f>
        <v>2850.6509182799996</v>
      </c>
      <c r="O185" s="30">
        <v>6.5208411526214649E-2</v>
      </c>
    </row>
    <row r="186" spans="2:15" s="14" customFormat="1" ht="12.75">
      <c r="B186" s="15"/>
      <c r="C186" s="16" t="s">
        <v>450</v>
      </c>
      <c r="D186" s="48" t="s">
        <v>451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9"/>
      <c r="O186" s="29"/>
    </row>
    <row r="187" spans="2:15" ht="25.5">
      <c r="B187" s="17">
        <v>107</v>
      </c>
      <c r="C187" s="18" t="s">
        <v>452</v>
      </c>
      <c r="D187" s="19" t="s">
        <v>453</v>
      </c>
      <c r="E187" s="19" t="s">
        <v>327</v>
      </c>
      <c r="F187" s="20">
        <v>1.2</v>
      </c>
      <c r="G187" s="21">
        <v>0.1</v>
      </c>
      <c r="H187" s="22">
        <f>F187 * G187 * 13799.202083</f>
        <v>1655.90424996</v>
      </c>
      <c r="I187" s="22">
        <f>F187 * G187 * 41013.712928</f>
        <v>4921.6455513600004</v>
      </c>
      <c r="J187" s="22">
        <f>F187 * G187 * 1.273272</f>
        <v>0.15279263999999998</v>
      </c>
      <c r="K187" s="22">
        <f>F187 * G187 * 13136.8403829999</f>
        <v>1576.4208459599881</v>
      </c>
      <c r="L187" s="22">
        <f>F187 * G187 * 7459.99668799999</f>
        <v>895.19960255999877</v>
      </c>
      <c r="M187" s="22">
        <f>F187 * G187 * 2759.840417</f>
        <v>331.18085004</v>
      </c>
      <c r="N187" s="26">
        <f>SUM(H187:M187)</f>
        <v>9380.5038925199879</v>
      </c>
      <c r="O187" s="30">
        <v>0.21457827551743039</v>
      </c>
    </row>
    <row r="188" spans="2:15" s="11" customFormat="1" ht="15">
      <c r="B188" s="12"/>
      <c r="C188" s="13" t="s">
        <v>454</v>
      </c>
      <c r="D188" s="46" t="s">
        <v>455</v>
      </c>
      <c r="E188" s="46"/>
      <c r="F188" s="46"/>
      <c r="G188" s="46"/>
      <c r="H188" s="46"/>
      <c r="I188" s="46"/>
      <c r="J188" s="46"/>
      <c r="K188" s="46"/>
      <c r="L188" s="46"/>
      <c r="M188" s="46"/>
      <c r="N188" s="47"/>
      <c r="O188" s="28"/>
    </row>
    <row r="189" spans="2:15" s="14" customFormat="1" ht="12.75">
      <c r="B189" s="15"/>
      <c r="C189" s="16" t="s">
        <v>456</v>
      </c>
      <c r="D189" s="48" t="s">
        <v>457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9"/>
      <c r="O189" s="29"/>
    </row>
    <row r="190" spans="2:15" ht="25.5">
      <c r="B190" s="17">
        <v>108</v>
      </c>
      <c r="C190" s="18" t="s">
        <v>458</v>
      </c>
      <c r="D190" s="19" t="s">
        <v>459</v>
      </c>
      <c r="E190" s="19" t="s">
        <v>460</v>
      </c>
      <c r="F190" s="20">
        <v>3</v>
      </c>
      <c r="G190" s="21">
        <v>0.1</v>
      </c>
      <c r="H190" s="22">
        <f>F190 * G190 * 98.639032</f>
        <v>29.591709600000005</v>
      </c>
      <c r="I190" s="22">
        <f>F190 * G190 * 322.33728</f>
        <v>96.701184000000026</v>
      </c>
      <c r="J190" s="22">
        <f t="shared" ref="J190:J195" si="6">F190 * G190 * 0</f>
        <v>0</v>
      </c>
      <c r="K190" s="22">
        <f>F190 * G190 * 93.904359</f>
        <v>28.171307700000003</v>
      </c>
      <c r="L190" s="22">
        <f>F190 * G190 * 56.401194</f>
        <v>16.920358200000003</v>
      </c>
      <c r="M190" s="22">
        <f>F190 * G190 * 19.727806</f>
        <v>5.9183418000000012</v>
      </c>
      <c r="N190" s="26">
        <f t="shared" ref="N190:N195" si="7">SUM(H190:M190)</f>
        <v>177.30290130000006</v>
      </c>
      <c r="O190" s="30">
        <v>4.0557896719736492E-3</v>
      </c>
    </row>
    <row r="191" spans="2:15" ht="25.5">
      <c r="B191" s="17">
        <v>109</v>
      </c>
      <c r="C191" s="18" t="s">
        <v>461</v>
      </c>
      <c r="D191" s="19" t="s">
        <v>462</v>
      </c>
      <c r="E191" s="19" t="s">
        <v>463</v>
      </c>
      <c r="F191" s="20">
        <v>6</v>
      </c>
      <c r="G191" s="21">
        <v>0.1</v>
      </c>
      <c r="H191" s="22">
        <f>F191 * G191 * 268.085555</f>
        <v>160.85133300000001</v>
      </c>
      <c r="I191" s="22">
        <f>F191 * G191 * 1978.43304</f>
        <v>1187.0598240000002</v>
      </c>
      <c r="J191" s="22">
        <f t="shared" si="6"/>
        <v>0</v>
      </c>
      <c r="K191" s="22">
        <f>F191 * G191 * 255.217449</f>
        <v>153.13046940000001</v>
      </c>
      <c r="L191" s="22">
        <f>F191 * G191 * 269.589758</f>
        <v>161.75385480000003</v>
      </c>
      <c r="M191" s="22">
        <f>F191 * G191 * 53.617111</f>
        <v>32.170266600000005</v>
      </c>
      <c r="N191" s="26">
        <f t="shared" si="7"/>
        <v>1694.9657478000004</v>
      </c>
      <c r="O191" s="30">
        <v>3.8772205778204789E-2</v>
      </c>
    </row>
    <row r="192" spans="2:15">
      <c r="B192" s="17">
        <v>110</v>
      </c>
      <c r="C192" s="18" t="s">
        <v>464</v>
      </c>
      <c r="D192" s="19" t="s">
        <v>465</v>
      </c>
      <c r="E192" s="19" t="s">
        <v>466</v>
      </c>
      <c r="F192" s="20">
        <v>6</v>
      </c>
      <c r="G192" s="21">
        <v>1</v>
      </c>
      <c r="H192" s="22">
        <f>F192 * G192 * 17.934369</f>
        <v>107.60621399999999</v>
      </c>
      <c r="I192" s="22">
        <f>F192 * G192 * 2572.918368</f>
        <v>15437.510208</v>
      </c>
      <c r="J192" s="22">
        <f t="shared" si="6"/>
        <v>0</v>
      </c>
      <c r="K192" s="22">
        <f>F192 * G192 * 17.0735189999999</f>
        <v>102.4411139999994</v>
      </c>
      <c r="L192" s="22">
        <f>F192 * G192 * 275.514636</f>
        <v>1653.087816</v>
      </c>
      <c r="M192" s="22">
        <f>F192 * G192 * 3.586874</f>
        <v>21.521243999999999</v>
      </c>
      <c r="N192" s="26">
        <f t="shared" si="7"/>
        <v>17322.166595999999</v>
      </c>
      <c r="O192" s="30">
        <v>0.39624317403239084</v>
      </c>
    </row>
    <row r="193" spans="2:15">
      <c r="B193" s="17">
        <v>111</v>
      </c>
      <c r="C193" s="18" t="s">
        <v>467</v>
      </c>
      <c r="D193" s="19" t="s">
        <v>468</v>
      </c>
      <c r="E193" s="19" t="s">
        <v>469</v>
      </c>
      <c r="F193" s="20">
        <v>3</v>
      </c>
      <c r="G193" s="21">
        <v>0.1</v>
      </c>
      <c r="H193" s="22">
        <f>F193 * G193 * 98.639032</f>
        <v>29.591709600000005</v>
      </c>
      <c r="I193" s="22">
        <f>F193 * G193 * 188.21808</f>
        <v>56.465424000000006</v>
      </c>
      <c r="J193" s="22">
        <f t="shared" si="6"/>
        <v>0</v>
      </c>
      <c r="K193" s="22">
        <f>F193 * G193 * 93.904359</f>
        <v>28.171307700000003</v>
      </c>
      <c r="L193" s="22">
        <f>F193 * G193 * 42.251618</f>
        <v>12.675485400000001</v>
      </c>
      <c r="M193" s="22">
        <f>F193 * G193 * 19.727806</f>
        <v>5.9183418000000012</v>
      </c>
      <c r="N193" s="26">
        <f t="shared" si="7"/>
        <v>132.82226850000001</v>
      </c>
      <c r="O193" s="30">
        <v>3.0382987578918478E-3</v>
      </c>
    </row>
    <row r="194" spans="2:15">
      <c r="B194" s="17">
        <v>112</v>
      </c>
      <c r="C194" s="18" t="s">
        <v>470</v>
      </c>
      <c r="D194" s="19" t="s">
        <v>471</v>
      </c>
      <c r="E194" s="19" t="s">
        <v>472</v>
      </c>
      <c r="F194" s="20">
        <v>3</v>
      </c>
      <c r="G194" s="21">
        <v>0.1</v>
      </c>
      <c r="H194" s="22">
        <f>F194 * G194 * 768.849138</f>
        <v>230.65474140000003</v>
      </c>
      <c r="I194" s="22">
        <f>F194 * G194 * 16600.468136</f>
        <v>4980.1404408000008</v>
      </c>
      <c r="J194" s="22">
        <f t="shared" si="6"/>
        <v>0</v>
      </c>
      <c r="K194" s="22">
        <f>F194 * G194 * 731.94438</f>
        <v>219.58331400000003</v>
      </c>
      <c r="L194" s="22">
        <f>F194 * G194 * 1925.905821</f>
        <v>577.77174630000013</v>
      </c>
      <c r="M194" s="22">
        <f>F194 * G194 * 153.769828</f>
        <v>46.130948400000001</v>
      </c>
      <c r="N194" s="26">
        <f t="shared" si="7"/>
        <v>6054.2811909000011</v>
      </c>
      <c r="O194" s="30">
        <v>0.13849119752264619</v>
      </c>
    </row>
    <row r="195" spans="2:15">
      <c r="B195" s="17">
        <v>113</v>
      </c>
      <c r="C195" s="18" t="s">
        <v>473</v>
      </c>
      <c r="D195" s="19" t="s">
        <v>474</v>
      </c>
      <c r="E195" s="19" t="s">
        <v>475</v>
      </c>
      <c r="F195" s="20">
        <v>1.4999999999999999E-2</v>
      </c>
      <c r="G195" s="21">
        <v>1</v>
      </c>
      <c r="H195" s="22">
        <f>F195 * G195 * 44835.92352</f>
        <v>672.53885279999997</v>
      </c>
      <c r="I195" s="22">
        <f>F195 * G195 * 118998.613755</f>
        <v>1784.979206325</v>
      </c>
      <c r="J195" s="22">
        <f t="shared" si="6"/>
        <v>0</v>
      </c>
      <c r="K195" s="22">
        <f>F195 * G195 * 42683.799191</f>
        <v>640.25698786499993</v>
      </c>
      <c r="L195" s="22">
        <f>F195 * G195 * 22733.722484</f>
        <v>341.00583726000002</v>
      </c>
      <c r="M195" s="22">
        <f>F195 * G195 * 8967.184704</f>
        <v>134.50777055999998</v>
      </c>
      <c r="N195" s="26">
        <f t="shared" si="7"/>
        <v>3573.2886548100005</v>
      </c>
      <c r="O195" s="30">
        <v>8.1738691893357127E-2</v>
      </c>
    </row>
    <row r="196" spans="2:15" s="14" customFormat="1" ht="12.75">
      <c r="B196" s="15"/>
      <c r="C196" s="16" t="s">
        <v>476</v>
      </c>
      <c r="D196" s="48" t="s">
        <v>477</v>
      </c>
      <c r="E196" s="48"/>
      <c r="F196" s="48"/>
      <c r="G196" s="48"/>
      <c r="H196" s="48"/>
      <c r="I196" s="48"/>
      <c r="J196" s="48"/>
      <c r="K196" s="48"/>
      <c r="L196" s="48"/>
      <c r="M196" s="48"/>
      <c r="N196" s="49"/>
      <c r="O196" s="29"/>
    </row>
    <row r="197" spans="2:15">
      <c r="B197" s="17">
        <v>114</v>
      </c>
      <c r="C197" s="18" t="s">
        <v>478</v>
      </c>
      <c r="D197" s="19" t="s">
        <v>479</v>
      </c>
      <c r="E197" s="19" t="s">
        <v>480</v>
      </c>
      <c r="F197" s="20">
        <v>18</v>
      </c>
      <c r="G197" s="21">
        <v>0.2</v>
      </c>
      <c r="H197" s="22">
        <f>F197 * G197 * 306.02219</f>
        <v>1101.6798840000001</v>
      </c>
      <c r="I197" s="22">
        <f>F197 * G197 * 32.878418</f>
        <v>118.36230480000002</v>
      </c>
      <c r="J197" s="22">
        <f>F197 * G197 * 0</f>
        <v>0</v>
      </c>
      <c r="K197" s="22">
        <f>F197 * G197 * 291.333125</f>
        <v>1048.79925</v>
      </c>
      <c r="L197" s="22">
        <f>F197 * G197 * 72.946727</f>
        <v>262.60821720000001</v>
      </c>
      <c r="M197" s="22">
        <f>F197 * G197 * 61.204438</f>
        <v>220.33597680000003</v>
      </c>
      <c r="N197" s="26">
        <f>SUM(H197:M197)</f>
        <v>2751.7856328000003</v>
      </c>
      <c r="O197" s="30">
        <v>6.2946876036233876E-2</v>
      </c>
    </row>
    <row r="198" spans="2:15" s="14" customFormat="1" ht="12.75">
      <c r="B198" s="15"/>
      <c r="C198" s="16" t="s">
        <v>481</v>
      </c>
      <c r="D198" s="48" t="s">
        <v>482</v>
      </c>
      <c r="E198" s="48"/>
      <c r="F198" s="48"/>
      <c r="G198" s="48"/>
      <c r="H198" s="48"/>
      <c r="I198" s="48"/>
      <c r="J198" s="48"/>
      <c r="K198" s="48"/>
      <c r="L198" s="48"/>
      <c r="M198" s="48"/>
      <c r="N198" s="49"/>
      <c r="O198" s="29"/>
    </row>
    <row r="199" spans="2:15" ht="25.5">
      <c r="B199" s="17">
        <v>115</v>
      </c>
      <c r="C199" s="18" t="s">
        <v>483</v>
      </c>
      <c r="D199" s="19" t="s">
        <v>484</v>
      </c>
      <c r="E199" s="19" t="s">
        <v>485</v>
      </c>
      <c r="F199" s="20">
        <v>3</v>
      </c>
      <c r="G199" s="21">
        <v>0.1</v>
      </c>
      <c r="H199" s="22">
        <f>F199 * G199 * 215.212433</f>
        <v>64.563729900000013</v>
      </c>
      <c r="I199" s="22">
        <f>F199 * G199 * 7754.59392</f>
        <v>2326.3781760000006</v>
      </c>
      <c r="J199" s="22">
        <f>F199 * G199 * 0</f>
        <v>0</v>
      </c>
      <c r="K199" s="22">
        <f>F199 * G199 * 204.882236</f>
        <v>61.464670800000007</v>
      </c>
      <c r="L199" s="22">
        <f>F199 * G199 * 866.970628</f>
        <v>260.09118840000002</v>
      </c>
      <c r="M199" s="22">
        <f>F199 * G199 * 43.042487</f>
        <v>12.912746100000001</v>
      </c>
      <c r="N199" s="26">
        <f>SUM(H199:M199)</f>
        <v>2725.4105112000007</v>
      </c>
      <c r="O199" s="30">
        <v>6.2343547241284665E-2</v>
      </c>
    </row>
    <row r="200" spans="2:15" ht="25.5">
      <c r="B200" s="17">
        <v>116</v>
      </c>
      <c r="C200" s="18" t="s">
        <v>486</v>
      </c>
      <c r="D200" s="19" t="s">
        <v>487</v>
      </c>
      <c r="E200" s="19" t="s">
        <v>488</v>
      </c>
      <c r="F200" s="20">
        <v>3</v>
      </c>
      <c r="G200" s="21">
        <v>0.1</v>
      </c>
      <c r="H200" s="22">
        <f>F200 * G200 * 177.101898</f>
        <v>53.130569400000013</v>
      </c>
      <c r="I200" s="22">
        <f>F200 * G200 * 7754.59392</f>
        <v>2326.3781760000006</v>
      </c>
      <c r="J200" s="22">
        <f>F200 * G200 * 0</f>
        <v>0</v>
      </c>
      <c r="K200" s="22">
        <f>F200 * G200 * 168.601007</f>
        <v>50.580302100000011</v>
      </c>
      <c r="L200" s="22">
        <f>F200 * G200 * 858.318165</f>
        <v>257.49544950000006</v>
      </c>
      <c r="M200" s="22">
        <f>F200 * G200 * 35.42038</f>
        <v>10.626114000000001</v>
      </c>
      <c r="N200" s="26">
        <f>SUM(H200:M200)</f>
        <v>2698.2106110000009</v>
      </c>
      <c r="O200" s="30">
        <v>6.1721351701894057E-2</v>
      </c>
    </row>
    <row r="201" spans="2:15">
      <c r="B201" s="17">
        <v>117</v>
      </c>
      <c r="C201" s="18" t="s">
        <v>489</v>
      </c>
      <c r="D201" s="19" t="s">
        <v>490</v>
      </c>
      <c r="E201" s="19" t="s">
        <v>491</v>
      </c>
      <c r="F201" s="20">
        <v>0.03</v>
      </c>
      <c r="G201" s="21">
        <v>1</v>
      </c>
      <c r="H201" s="22">
        <f>F201 * G201 * 2690.155411</f>
        <v>80.704662330000005</v>
      </c>
      <c r="I201" s="22">
        <f>F201 * G201 * 0</f>
        <v>0</v>
      </c>
      <c r="J201" s="22">
        <f>F201 * G201 * 0</f>
        <v>0</v>
      </c>
      <c r="K201" s="22">
        <f>F201 * G201 * 2561.027951</f>
        <v>76.830838529999994</v>
      </c>
      <c r="L201" s="22">
        <f>F201 * G201 * 610.762124</f>
        <v>18.322863719999997</v>
      </c>
      <c r="M201" s="22">
        <f>F201 * G201 * 538.031082</f>
        <v>16.140932459999998</v>
      </c>
      <c r="N201" s="26">
        <f>SUM(H201:M201)</f>
        <v>191.99929703999999</v>
      </c>
      <c r="O201" s="30">
        <v>4.3919685479000816E-3</v>
      </c>
    </row>
    <row r="202" spans="2:15" s="14" customFormat="1" ht="12.75">
      <c r="B202" s="15"/>
      <c r="C202" s="16" t="s">
        <v>492</v>
      </c>
      <c r="D202" s="48" t="s">
        <v>493</v>
      </c>
      <c r="E202" s="48"/>
      <c r="F202" s="48"/>
      <c r="G202" s="48"/>
      <c r="H202" s="48"/>
      <c r="I202" s="48"/>
      <c r="J202" s="48"/>
      <c r="K202" s="48"/>
      <c r="L202" s="48"/>
      <c r="M202" s="48"/>
      <c r="N202" s="49"/>
      <c r="O202" s="29"/>
    </row>
    <row r="203" spans="2:15">
      <c r="B203" s="17">
        <v>118</v>
      </c>
      <c r="C203" s="18" t="s">
        <v>494</v>
      </c>
      <c r="D203" s="19" t="s">
        <v>495</v>
      </c>
      <c r="E203" s="19" t="s">
        <v>496</v>
      </c>
      <c r="F203" s="20">
        <v>3</v>
      </c>
      <c r="G203" s="21">
        <v>2</v>
      </c>
      <c r="H203" s="22">
        <f>F203 * G203 * 21.297064</f>
        <v>127.78238399999999</v>
      </c>
      <c r="I203" s="22">
        <f>F203 * G203 * 150.23832</f>
        <v>901.42991999999992</v>
      </c>
      <c r="J203" s="22">
        <f>F203 * G203 * 0</f>
        <v>0</v>
      </c>
      <c r="K203" s="22">
        <f>F203 * G203 * 20.274805</f>
        <v>121.64883</v>
      </c>
      <c r="L203" s="22">
        <f>F203 * G203 * 20.685343</f>
        <v>124.11205799999999</v>
      </c>
      <c r="M203" s="22">
        <f>F203 * G203 * 4.259413</f>
        <v>25.556478000000002</v>
      </c>
      <c r="N203" s="26">
        <f>SUM(H203:M203)</f>
        <v>1300.5296699999999</v>
      </c>
      <c r="O203" s="30">
        <v>2.9749512077957726E-2</v>
      </c>
    </row>
    <row r="204" spans="2:15" ht="25.5">
      <c r="B204" s="17">
        <v>119</v>
      </c>
      <c r="C204" s="18" t="s">
        <v>497</v>
      </c>
      <c r="D204" s="19" t="s">
        <v>498</v>
      </c>
      <c r="E204" s="19" t="s">
        <v>499</v>
      </c>
      <c r="F204" s="20">
        <v>18</v>
      </c>
      <c r="G204" s="21">
        <v>0.2</v>
      </c>
      <c r="H204" s="22">
        <f>F204 * G204 * 413.003501</f>
        <v>1486.8126036000001</v>
      </c>
      <c r="I204" s="22">
        <f>F204 * G204 * 1328.653084</f>
        <v>4783.1511024000001</v>
      </c>
      <c r="J204" s="22">
        <f>F204 * G204 * 0</f>
        <v>0</v>
      </c>
      <c r="K204" s="22">
        <f>F204 * G204 * 393.179333</f>
        <v>1415.4455988</v>
      </c>
      <c r="L204" s="22">
        <f>F204 * G204 * 233.939563</f>
        <v>842.18242680000003</v>
      </c>
      <c r="M204" s="22">
        <f>F204 * G204 * 82.6007</f>
        <v>297.36252000000002</v>
      </c>
      <c r="N204" s="26">
        <f>SUM(H204:M204)</f>
        <v>8824.954251600002</v>
      </c>
      <c r="O204" s="30">
        <v>0.20187012195992318</v>
      </c>
    </row>
    <row r="205" spans="2:15" s="11" customFormat="1" ht="15">
      <c r="B205" s="12"/>
      <c r="C205" s="13" t="s">
        <v>500</v>
      </c>
      <c r="D205" s="46" t="s">
        <v>501</v>
      </c>
      <c r="E205" s="46"/>
      <c r="F205" s="46"/>
      <c r="G205" s="46"/>
      <c r="H205" s="46"/>
      <c r="I205" s="46"/>
      <c r="J205" s="46"/>
      <c r="K205" s="46"/>
      <c r="L205" s="46"/>
      <c r="M205" s="46"/>
      <c r="N205" s="47"/>
      <c r="O205" s="28"/>
    </row>
    <row r="206" spans="2:15" s="14" customFormat="1" ht="12.75">
      <c r="B206" s="15"/>
      <c r="C206" s="16" t="s">
        <v>502</v>
      </c>
      <c r="D206" s="48" t="s">
        <v>503</v>
      </c>
      <c r="E206" s="48"/>
      <c r="F206" s="48"/>
      <c r="G206" s="48"/>
      <c r="H206" s="48"/>
      <c r="I206" s="48"/>
      <c r="J206" s="48"/>
      <c r="K206" s="48"/>
      <c r="L206" s="48"/>
      <c r="M206" s="48"/>
      <c r="N206" s="49"/>
      <c r="O206" s="29"/>
    </row>
    <row r="207" spans="2:15">
      <c r="B207" s="17">
        <v>120</v>
      </c>
      <c r="C207" s="18" t="s">
        <v>504</v>
      </c>
      <c r="D207" s="19" t="s">
        <v>505</v>
      </c>
      <c r="E207" s="19" t="s">
        <v>506</v>
      </c>
      <c r="F207" s="20">
        <v>0.3</v>
      </c>
      <c r="G207" s="21">
        <v>1</v>
      </c>
      <c r="H207" s="22">
        <f>F207 * G207 * 4936.582616</f>
        <v>1480.9747848</v>
      </c>
      <c r="I207" s="22">
        <f>F207 * G207 * 14336.414138</f>
        <v>4300.9242414</v>
      </c>
      <c r="J207" s="22">
        <f>F207 * G207 * 0</f>
        <v>0</v>
      </c>
      <c r="K207" s="22">
        <f>F207 * G207 * 4699.62665</f>
        <v>1409.887995</v>
      </c>
      <c r="L207" s="22">
        <f>F207 * G207 * 2633.273663</f>
        <v>789.98209889999998</v>
      </c>
      <c r="M207" s="22">
        <f>F207 * G207 * 987.316523</f>
        <v>296.19495689999997</v>
      </c>
      <c r="N207" s="26">
        <f>SUM(H207:M207)</f>
        <v>8277.9640770000005</v>
      </c>
      <c r="O207" s="30">
        <v>0.18935776550919572</v>
      </c>
    </row>
    <row r="208" spans="2:15" ht="25.5">
      <c r="B208" s="17">
        <v>121</v>
      </c>
      <c r="C208" s="18" t="s">
        <v>507</v>
      </c>
      <c r="D208" s="19" t="s">
        <v>508</v>
      </c>
      <c r="E208" s="19" t="s">
        <v>509</v>
      </c>
      <c r="F208" s="20">
        <v>3.6959999999999997</v>
      </c>
      <c r="G208" s="21">
        <v>0.2</v>
      </c>
      <c r="H208" s="22">
        <f>F208 * G208 * 5209.964556</f>
        <v>3851.2057997951997</v>
      </c>
      <c r="I208" s="22">
        <f>F208 * G208 * 8187.30204</f>
        <v>6052.053667967999</v>
      </c>
      <c r="J208" s="22">
        <f>F208 * G208 * 0</f>
        <v>0</v>
      </c>
      <c r="K208" s="22">
        <f>F208 * G208 * 4959.886257</f>
        <v>3666.3479211743997</v>
      </c>
      <c r="L208" s="22">
        <f>F208 * G208 * 2046.609878</f>
        <v>1512.8540218175999</v>
      </c>
      <c r="M208" s="22">
        <f>F208 * G208 * 1041.992911</f>
        <v>770.24115981119996</v>
      </c>
      <c r="N208" s="26">
        <f>SUM(H208:M208)</f>
        <v>15852.702570566398</v>
      </c>
      <c r="O208" s="30">
        <v>0.36262930209914906</v>
      </c>
    </row>
    <row r="209" spans="2:15" s="14" customFormat="1" ht="12.75">
      <c r="B209" s="15"/>
      <c r="C209" s="16" t="s">
        <v>510</v>
      </c>
      <c r="D209" s="48" t="s">
        <v>511</v>
      </c>
      <c r="E209" s="48"/>
      <c r="F209" s="48"/>
      <c r="G209" s="48"/>
      <c r="H209" s="48"/>
      <c r="I209" s="48"/>
      <c r="J209" s="48"/>
      <c r="K209" s="48"/>
      <c r="L209" s="48"/>
      <c r="M209" s="48"/>
      <c r="N209" s="49"/>
      <c r="O209" s="29"/>
    </row>
    <row r="210" spans="2:15" ht="25.5">
      <c r="B210" s="17">
        <v>122</v>
      </c>
      <c r="C210" s="18" t="s">
        <v>512</v>
      </c>
      <c r="D210" s="19" t="s">
        <v>513</v>
      </c>
      <c r="E210" s="19" t="s">
        <v>514</v>
      </c>
      <c r="F210" s="20">
        <v>3</v>
      </c>
      <c r="G210" s="21">
        <v>1</v>
      </c>
      <c r="H210" s="22">
        <f>F210 * G210 * 343.499503</f>
        <v>1030.498509</v>
      </c>
      <c r="I210" s="22">
        <f>F210 * G210 * 108.02292</f>
        <v>324.06876</v>
      </c>
      <c r="J210" s="22">
        <f>F210 * G210 * 0</f>
        <v>0</v>
      </c>
      <c r="K210" s="22">
        <f>F210 * G210 * 327.011527</f>
        <v>981.034581</v>
      </c>
      <c r="L210" s="22">
        <f>F210 * G210 * 89.383171</f>
        <v>268.14951300000001</v>
      </c>
      <c r="M210" s="22">
        <f>F210 * G210 * 68.699901</f>
        <v>206.09970299999998</v>
      </c>
      <c r="N210" s="26">
        <f>SUM(H210:M210)</f>
        <v>2809.8510659999997</v>
      </c>
      <c r="O210" s="30">
        <v>6.4275118171836385E-2</v>
      </c>
    </row>
    <row r="211" spans="2:15" s="14" customFormat="1" ht="12.75">
      <c r="B211" s="15"/>
      <c r="C211" s="16" t="s">
        <v>515</v>
      </c>
      <c r="D211" s="48" t="s">
        <v>516</v>
      </c>
      <c r="E211" s="48"/>
      <c r="F211" s="48"/>
      <c r="G211" s="48"/>
      <c r="H211" s="48"/>
      <c r="I211" s="48"/>
      <c r="J211" s="48"/>
      <c r="K211" s="48"/>
      <c r="L211" s="48"/>
      <c r="M211" s="48"/>
      <c r="N211" s="49"/>
      <c r="O211" s="29"/>
    </row>
    <row r="212" spans="2:15" ht="25.5">
      <c r="B212" s="17">
        <v>123</v>
      </c>
      <c r="C212" s="18" t="s">
        <v>517</v>
      </c>
      <c r="D212" s="19" t="s">
        <v>518</v>
      </c>
      <c r="E212" s="19" t="s">
        <v>519</v>
      </c>
      <c r="F212" s="20">
        <v>0.72</v>
      </c>
      <c r="G212" s="21">
        <v>1</v>
      </c>
      <c r="H212" s="22">
        <f>F212 * G212 * 15174.654048</f>
        <v>10925.75091456</v>
      </c>
      <c r="I212" s="22">
        <f>F212 * G212 * 0</f>
        <v>0</v>
      </c>
      <c r="J212" s="22">
        <f>F212 * G212 * 0</f>
        <v>0</v>
      </c>
      <c r="K212" s="22">
        <f>F212 * G212 * 14446.270653</f>
        <v>10401.314870159998</v>
      </c>
      <c r="L212" s="22">
        <f>F212 * G212 * 3445.192757</f>
        <v>2480.5387850399998</v>
      </c>
      <c r="M212" s="22">
        <f>F212 * G212 * 3034.93081</f>
        <v>2185.1501831999999</v>
      </c>
      <c r="N212" s="26">
        <f>SUM(H212:M212)</f>
        <v>25992.754752959998</v>
      </c>
      <c r="O212" s="30">
        <v>0.59458218393631623</v>
      </c>
    </row>
    <row r="213" spans="2:15">
      <c r="B213" s="17">
        <v>124</v>
      </c>
      <c r="C213" s="18" t="s">
        <v>520</v>
      </c>
      <c r="D213" s="19" t="s">
        <v>521</v>
      </c>
      <c r="E213" s="19" t="s">
        <v>522</v>
      </c>
      <c r="F213" s="20">
        <v>138.84</v>
      </c>
      <c r="G213" s="21">
        <v>0.1</v>
      </c>
      <c r="H213" s="22">
        <f>F213 * G213 * 220.032484</f>
        <v>3054.9310078560002</v>
      </c>
      <c r="I213" s="22">
        <f>F213 * G213 * 0</f>
        <v>0</v>
      </c>
      <c r="J213" s="22">
        <f>F213 * G213 * 0</f>
        <v>0</v>
      </c>
      <c r="K213" s="22">
        <f>F213 * G213 * 209.470925</f>
        <v>2908.2943227000001</v>
      </c>
      <c r="L213" s="22">
        <f>F213 * G213 * 49.955296</f>
        <v>693.57932966399994</v>
      </c>
      <c r="M213" s="22">
        <f>F213 * G213 * 44.006497</f>
        <v>610.986204348</v>
      </c>
      <c r="N213" s="26">
        <f>SUM(H213:M213)</f>
        <v>7267.7908645680009</v>
      </c>
      <c r="O213" s="30">
        <v>0.16625013415152348</v>
      </c>
    </row>
    <row r="214" spans="2:15" ht="38.25">
      <c r="B214" s="17">
        <v>125</v>
      </c>
      <c r="C214" s="18" t="s">
        <v>523</v>
      </c>
      <c r="D214" s="19" t="s">
        <v>524</v>
      </c>
      <c r="E214" s="19" t="s">
        <v>525</v>
      </c>
      <c r="F214" s="20">
        <v>1.26</v>
      </c>
      <c r="G214" s="21">
        <v>1</v>
      </c>
      <c r="H214" s="22">
        <f>F214 * G214 * 7941.458992</f>
        <v>10006.238329919999</v>
      </c>
      <c r="I214" s="22">
        <f>F214 * G214 * 1527.211044</f>
        <v>1924.2859154399998</v>
      </c>
      <c r="J214" s="22">
        <f>F214 * G214 * 0</f>
        <v>0</v>
      </c>
      <c r="K214" s="22">
        <f>F214 * G214 * 7560.268961</f>
        <v>9525.9388908599994</v>
      </c>
      <c r="L214" s="22">
        <f>F214 * G214 * 1964.117849</f>
        <v>2474.7884897399999</v>
      </c>
      <c r="M214" s="22">
        <f>F214 * G214 * 1588.291798</f>
        <v>2001.24766548</v>
      </c>
      <c r="N214" s="26">
        <f>SUM(H214:M214)</f>
        <v>25932.499291439999</v>
      </c>
      <c r="O214" s="30">
        <v>0.59320384507823221</v>
      </c>
    </row>
    <row r="215" spans="2:15" ht="25.5">
      <c r="B215" s="17">
        <v>126</v>
      </c>
      <c r="C215" s="18" t="s">
        <v>526</v>
      </c>
      <c r="D215" s="19" t="s">
        <v>527</v>
      </c>
      <c r="E215" s="19" t="s">
        <v>509</v>
      </c>
      <c r="F215" s="20">
        <v>3.6959999999999997</v>
      </c>
      <c r="G215" s="21">
        <v>2</v>
      </c>
      <c r="H215" s="22">
        <f>F215 * G215 * 941.554394</f>
        <v>6959.9700804479999</v>
      </c>
      <c r="I215" s="22">
        <f>F215 * G215 * 0</f>
        <v>0</v>
      </c>
      <c r="J215" s="22">
        <f>F215 * G215 * 0</f>
        <v>0</v>
      </c>
      <c r="K215" s="22">
        <f>F215 * G215 * 896.359783</f>
        <v>6625.8915159359995</v>
      </c>
      <c r="L215" s="22">
        <f>F215 * G215 * 213.766743</f>
        <v>1580.1637642559999</v>
      </c>
      <c r="M215" s="22">
        <f>F215 * G215 * 188.310879</f>
        <v>1391.9940175679999</v>
      </c>
      <c r="N215" s="26">
        <f>SUM(H215:M215)</f>
        <v>16558.019378207999</v>
      </c>
      <c r="O215" s="30">
        <v>0.37876336760472135</v>
      </c>
    </row>
    <row r="216" spans="2:15" s="14" customFormat="1" ht="12.75">
      <c r="B216" s="15"/>
      <c r="C216" s="16" t="s">
        <v>528</v>
      </c>
      <c r="D216" s="48" t="s">
        <v>529</v>
      </c>
      <c r="E216" s="48"/>
      <c r="F216" s="48"/>
      <c r="G216" s="48"/>
      <c r="H216" s="48"/>
      <c r="I216" s="48"/>
      <c r="J216" s="48"/>
      <c r="K216" s="48"/>
      <c r="L216" s="48"/>
      <c r="M216" s="48"/>
      <c r="N216" s="49"/>
      <c r="O216" s="29"/>
    </row>
    <row r="217" spans="2:15" ht="25.5">
      <c r="B217" s="17">
        <v>127</v>
      </c>
      <c r="C217" s="18" t="s">
        <v>530</v>
      </c>
      <c r="D217" s="19" t="s">
        <v>531</v>
      </c>
      <c r="E217" s="19" t="s">
        <v>509</v>
      </c>
      <c r="F217" s="20">
        <v>3.6429999999999998</v>
      </c>
      <c r="G217" s="21">
        <v>3</v>
      </c>
      <c r="H217" s="22">
        <f>F217 * G217 * 941.554394</f>
        <v>10290.247972025998</v>
      </c>
      <c r="I217" s="22">
        <f>F217 * G217 * 0</f>
        <v>0</v>
      </c>
      <c r="J217" s="22">
        <f>F217 * G217 * 0</f>
        <v>0</v>
      </c>
      <c r="K217" s="22">
        <f>F217 * G217 * 896.359783</f>
        <v>9796.316068406999</v>
      </c>
      <c r="L217" s="22">
        <f>F217 * G217 * 213.766743</f>
        <v>2336.2567342469997</v>
      </c>
      <c r="M217" s="22">
        <f>F217 * G217 * 188.310879</f>
        <v>2058.0495965909995</v>
      </c>
      <c r="N217" s="26">
        <f>SUM(H217:M217)</f>
        <v>24480.870371270998</v>
      </c>
      <c r="O217" s="30">
        <v>0.55999794974999995</v>
      </c>
    </row>
    <row r="218" spans="2:15" ht="25.5">
      <c r="B218" s="17">
        <v>128</v>
      </c>
      <c r="C218" s="18" t="s">
        <v>532</v>
      </c>
      <c r="D218" s="19" t="s">
        <v>533</v>
      </c>
      <c r="E218" s="19" t="s">
        <v>509</v>
      </c>
      <c r="F218" s="20">
        <v>3.6429999999999998</v>
      </c>
      <c r="G218" s="21">
        <v>1</v>
      </c>
      <c r="H218" s="22">
        <f>F218 * G218 * 941.554394</f>
        <v>3430.0826573419999</v>
      </c>
      <c r="I218" s="22">
        <f>F218 * G218 * 0</f>
        <v>0</v>
      </c>
      <c r="J218" s="22">
        <f>F218 * G218 * 0</f>
        <v>0</v>
      </c>
      <c r="K218" s="22">
        <f>F218 * G218 * 896.359783</f>
        <v>3265.4386894689997</v>
      </c>
      <c r="L218" s="22">
        <f>F218 * G218 * 213.766743</f>
        <v>778.75224474899994</v>
      </c>
      <c r="M218" s="22">
        <f>F218 * G218 * 188.310879</f>
        <v>686.01653219699995</v>
      </c>
      <c r="N218" s="26">
        <f>SUM(H218:M218)</f>
        <v>8160.2901237569995</v>
      </c>
      <c r="O218" s="30">
        <v>0.18666598324999997</v>
      </c>
    </row>
    <row r="219" spans="2:15" s="14" customFormat="1" ht="12.75">
      <c r="B219" s="15"/>
      <c r="C219" s="16" t="s">
        <v>534</v>
      </c>
      <c r="D219" s="48" t="s">
        <v>535</v>
      </c>
      <c r="E219" s="48"/>
      <c r="F219" s="48"/>
      <c r="G219" s="48"/>
      <c r="H219" s="48"/>
      <c r="I219" s="48"/>
      <c r="J219" s="48"/>
      <c r="K219" s="48"/>
      <c r="L219" s="48"/>
      <c r="M219" s="48"/>
      <c r="N219" s="49"/>
      <c r="O219" s="29"/>
    </row>
    <row r="220" spans="2:15" ht="25.5">
      <c r="B220" s="17">
        <v>129</v>
      </c>
      <c r="C220" s="18" t="s">
        <v>536</v>
      </c>
      <c r="D220" s="19" t="s">
        <v>537</v>
      </c>
      <c r="E220" s="19" t="s">
        <v>538</v>
      </c>
      <c r="F220" s="20">
        <v>0.18</v>
      </c>
      <c r="G220" s="21">
        <v>2</v>
      </c>
      <c r="H220" s="22">
        <f>F220 * G220 * 2276.198107</f>
        <v>819.43131851999999</v>
      </c>
      <c r="I220" s="22">
        <f>F220 * G220 * 0</f>
        <v>0</v>
      </c>
      <c r="J220" s="22">
        <f>F220 * G220 * 0</f>
        <v>0</v>
      </c>
      <c r="K220" s="22">
        <f>F220 * G220 * 2166.940598</f>
        <v>780.09861527999999</v>
      </c>
      <c r="L220" s="22">
        <f>F220 * G220 * 516.778914</f>
        <v>186.04040903999999</v>
      </c>
      <c r="M220" s="22">
        <f>F220 * G220 * 455.239621</f>
        <v>163.88626356</v>
      </c>
      <c r="N220" s="26">
        <f>SUM(H220:M220)</f>
        <v>1949.4566064000001</v>
      </c>
      <c r="O220" s="30">
        <v>4.4593663793576717E-2</v>
      </c>
    </row>
    <row r="221" spans="2:15">
      <c r="B221" s="17">
        <v>130</v>
      </c>
      <c r="C221" s="18" t="s">
        <v>539</v>
      </c>
      <c r="D221" s="19" t="s">
        <v>540</v>
      </c>
      <c r="E221" s="19" t="s">
        <v>191</v>
      </c>
      <c r="F221" s="20">
        <v>3.45</v>
      </c>
      <c r="G221" s="21">
        <v>2</v>
      </c>
      <c r="H221" s="22">
        <f>F221 * G221 * 1120.898088</f>
        <v>7734.1968072</v>
      </c>
      <c r="I221" s="22">
        <f>F221 * G221 * 1205.827488</f>
        <v>8320.2096671999989</v>
      </c>
      <c r="J221" s="22">
        <f>F221 * G221 * 0</f>
        <v>0</v>
      </c>
      <c r="K221" s="22">
        <f>F221 * G221 * 1067.09497999999</f>
        <v>7362.9553619999315</v>
      </c>
      <c r="L221" s="22">
        <f>F221 * G221 * 381.699018</f>
        <v>2633.7232242000005</v>
      </c>
      <c r="M221" s="22">
        <f>F221 * G221 * 224.179618</f>
        <v>1546.8393642000001</v>
      </c>
      <c r="N221" s="26">
        <f>SUM(H221:M221)</f>
        <v>27597.92442479993</v>
      </c>
      <c r="O221" s="30">
        <v>0.63130031166620759</v>
      </c>
    </row>
    <row r="222" spans="2:15">
      <c r="B222" s="17">
        <v>131</v>
      </c>
      <c r="C222" s="18" t="s">
        <v>541</v>
      </c>
      <c r="D222" s="19" t="s">
        <v>542</v>
      </c>
      <c r="E222" s="19" t="s">
        <v>543</v>
      </c>
      <c r="F222" s="20">
        <v>18</v>
      </c>
      <c r="G222" s="21">
        <v>1</v>
      </c>
      <c r="H222" s="22">
        <f>F222 * G222 * 64.070761</f>
        <v>1153.273698</v>
      </c>
      <c r="I222" s="22">
        <f>F222 * G222 * 0</f>
        <v>0</v>
      </c>
      <c r="J222" s="22">
        <f>F222 * G222 * 0</f>
        <v>0</v>
      </c>
      <c r="K222" s="22">
        <f>F222 * G222 * 60.995365</f>
        <v>1097.9165700000001</v>
      </c>
      <c r="L222" s="22">
        <f>F222 * G222 * 14.546369</f>
        <v>261.83464200000003</v>
      </c>
      <c r="M222" s="22">
        <f>F222 * G222 * 12.814152</f>
        <v>230.65473600000001</v>
      </c>
      <c r="N222" s="26">
        <f>SUM(H222:M222)</f>
        <v>2743.679646</v>
      </c>
      <c r="O222" s="30">
        <v>6.276145223716717E-2</v>
      </c>
    </row>
    <row r="223" spans="2:15" s="14" customFormat="1" ht="12.75">
      <c r="B223" s="15"/>
      <c r="C223" s="16" t="s">
        <v>544</v>
      </c>
      <c r="D223" s="48" t="s">
        <v>545</v>
      </c>
      <c r="E223" s="48"/>
      <c r="F223" s="48"/>
      <c r="G223" s="48"/>
      <c r="H223" s="48"/>
      <c r="I223" s="48"/>
      <c r="J223" s="48"/>
      <c r="K223" s="48"/>
      <c r="L223" s="48"/>
      <c r="M223" s="48"/>
      <c r="N223" s="49"/>
      <c r="O223" s="29"/>
    </row>
    <row r="224" spans="2:15" s="14" customFormat="1" ht="12.75">
      <c r="B224" s="15"/>
      <c r="C224" s="16" t="s">
        <v>546</v>
      </c>
      <c r="D224" s="50" t="s">
        <v>547</v>
      </c>
      <c r="E224" s="50"/>
      <c r="F224" s="50"/>
      <c r="G224" s="50"/>
      <c r="H224" s="50"/>
      <c r="I224" s="50"/>
      <c r="J224" s="50"/>
      <c r="K224" s="50"/>
      <c r="L224" s="50"/>
      <c r="M224" s="50"/>
      <c r="N224" s="51"/>
      <c r="O224" s="31"/>
    </row>
    <row r="225" spans="2:15" ht="25.5">
      <c r="B225" s="17">
        <v>132</v>
      </c>
      <c r="C225" s="18" t="s">
        <v>548</v>
      </c>
      <c r="D225" s="19" t="s">
        <v>549</v>
      </c>
      <c r="E225" s="19" t="s">
        <v>509</v>
      </c>
      <c r="F225" s="20">
        <v>3.3689999999999998</v>
      </c>
      <c r="G225" s="21">
        <v>1</v>
      </c>
      <c r="H225" s="22">
        <f>F225 * G225 * 2529.109008</f>
        <v>8520.5682479519983</v>
      </c>
      <c r="I225" s="22">
        <f>F225 * G225 * 0</f>
        <v>0</v>
      </c>
      <c r="J225" s="22">
        <f>F225 * G225 * 0</f>
        <v>0</v>
      </c>
      <c r="K225" s="22">
        <f>F225 * G225 * 2407.711775</f>
        <v>8111.5809699749998</v>
      </c>
      <c r="L225" s="22">
        <f>F225 * G225 * 574.198793</f>
        <v>1934.4757336170001</v>
      </c>
      <c r="M225" s="22">
        <f>F225 * G225 * 505.821802</f>
        <v>1704.1136509379999</v>
      </c>
      <c r="N225" s="26">
        <f>SUM(H225:M225)</f>
        <v>20270.738602482001</v>
      </c>
      <c r="O225" s="30">
        <v>0.46369152261144664</v>
      </c>
    </row>
    <row r="226" spans="2:15" ht="38.25">
      <c r="B226" s="17">
        <v>133</v>
      </c>
      <c r="C226" s="18" t="s">
        <v>550</v>
      </c>
      <c r="D226" s="19" t="s">
        <v>551</v>
      </c>
      <c r="E226" s="19" t="s">
        <v>552</v>
      </c>
      <c r="F226" s="20">
        <v>1.6800000000000002</v>
      </c>
      <c r="G226" s="21">
        <v>2</v>
      </c>
      <c r="H226" s="22">
        <f>F226 * G226 * 1011.643603</f>
        <v>3399.1225060800002</v>
      </c>
      <c r="I226" s="22">
        <f>F226 * G226 * 0</f>
        <v>0</v>
      </c>
      <c r="J226" s="22">
        <f>F226 * G226 * 0</f>
        <v>0</v>
      </c>
      <c r="K226" s="22">
        <f>F226 * G226 * 963.08471</f>
        <v>3235.9646256000001</v>
      </c>
      <c r="L226" s="22">
        <f>F226 * G226 * 229.679517</f>
        <v>771.72317712000006</v>
      </c>
      <c r="M226" s="22">
        <f>F226 * G226 * 202.328721</f>
        <v>679.82450256000004</v>
      </c>
      <c r="N226" s="26">
        <f>SUM(H226:M226)</f>
        <v>8086.6348113600006</v>
      </c>
      <c r="O226" s="30">
        <v>0.18498112387592644</v>
      </c>
    </row>
    <row r="227" spans="2:15">
      <c r="B227" s="17">
        <v>134</v>
      </c>
      <c r="C227" s="18" t="s">
        <v>553</v>
      </c>
      <c r="D227" s="19" t="s">
        <v>554</v>
      </c>
      <c r="E227" s="19" t="s">
        <v>555</v>
      </c>
      <c r="F227" s="20">
        <v>3</v>
      </c>
      <c r="G227" s="21">
        <v>1</v>
      </c>
      <c r="H227" s="22">
        <f>F227 * G227 * 896.71847</f>
        <v>2690.1554100000003</v>
      </c>
      <c r="I227" s="22">
        <f>F227 * G227 * 0</f>
        <v>0</v>
      </c>
      <c r="J227" s="22">
        <f>F227 * G227 * 0</f>
        <v>0</v>
      </c>
      <c r="K227" s="22">
        <f>F227 * G227 * 853.675984</f>
        <v>2561.0279519999999</v>
      </c>
      <c r="L227" s="22">
        <f>F227 * G227 * 203.587375</f>
        <v>610.76212499999997</v>
      </c>
      <c r="M227" s="22">
        <f>F227 * G227 * 179.343694</f>
        <v>538.03108199999997</v>
      </c>
      <c r="N227" s="26">
        <f>SUM(H227:M227)</f>
        <v>6399.9765690000004</v>
      </c>
      <c r="O227" s="30">
        <v>0.14639895161954433</v>
      </c>
    </row>
    <row r="228" spans="2:15" s="14" customFormat="1" ht="12.75">
      <c r="B228" s="15"/>
      <c r="C228" s="16" t="s">
        <v>556</v>
      </c>
      <c r="D228" s="50" t="s">
        <v>557</v>
      </c>
      <c r="E228" s="50"/>
      <c r="F228" s="50"/>
      <c r="G228" s="50"/>
      <c r="H228" s="50"/>
      <c r="I228" s="50"/>
      <c r="J228" s="50"/>
      <c r="K228" s="50"/>
      <c r="L228" s="50"/>
      <c r="M228" s="50"/>
      <c r="N228" s="51"/>
      <c r="O228" s="31"/>
    </row>
    <row r="229" spans="2:15" ht="25.5">
      <c r="B229" s="17">
        <v>135</v>
      </c>
      <c r="C229" s="18" t="s">
        <v>558</v>
      </c>
      <c r="D229" s="19" t="s">
        <v>559</v>
      </c>
      <c r="E229" s="19" t="s">
        <v>327</v>
      </c>
      <c r="F229" s="20">
        <v>3.3</v>
      </c>
      <c r="G229" s="21">
        <v>1</v>
      </c>
      <c r="H229" s="22">
        <f>F229 * G229 * 880.982422</f>
        <v>2907.2419925999998</v>
      </c>
      <c r="I229" s="22">
        <f>F229 * G229 * 11.135178</f>
        <v>36.7460874</v>
      </c>
      <c r="J229" s="22">
        <f>F229 * G229 * 0</f>
        <v>0</v>
      </c>
      <c r="K229" s="22">
        <f>F229 * G229 * 838.695265</f>
        <v>2767.6943744999999</v>
      </c>
      <c r="L229" s="22">
        <f>F229 * G229 * 201.189486999999</f>
        <v>663.92530709999664</v>
      </c>
      <c r="M229" s="22">
        <f>F229 * G229 * 176.196484</f>
        <v>581.44839719999993</v>
      </c>
      <c r="N229" s="26">
        <f>SUM(H229:M229)</f>
        <v>6957.0561587999964</v>
      </c>
      <c r="O229" s="30">
        <v>0.15914210263519071</v>
      </c>
    </row>
    <row r="230" spans="2:15" s="14" customFormat="1" ht="12.75">
      <c r="B230" s="15"/>
      <c r="C230" s="16" t="s">
        <v>560</v>
      </c>
      <c r="D230" s="50" t="s">
        <v>561</v>
      </c>
      <c r="E230" s="50"/>
      <c r="F230" s="50"/>
      <c r="G230" s="50"/>
      <c r="H230" s="50"/>
      <c r="I230" s="50"/>
      <c r="J230" s="50"/>
      <c r="K230" s="50"/>
      <c r="L230" s="50"/>
      <c r="M230" s="50"/>
      <c r="N230" s="51"/>
      <c r="O230" s="31"/>
    </row>
    <row r="231" spans="2:15" ht="25.5">
      <c r="B231" s="17">
        <v>136</v>
      </c>
      <c r="C231" s="18" t="s">
        <v>562</v>
      </c>
      <c r="D231" s="19" t="s">
        <v>563</v>
      </c>
      <c r="E231" s="19" t="s">
        <v>564</v>
      </c>
      <c r="F231" s="20">
        <v>138.84</v>
      </c>
      <c r="G231" s="21">
        <v>1</v>
      </c>
      <c r="H231" s="22">
        <f>F231 * G231 * 207.534376</f>
        <v>28814.072763840002</v>
      </c>
      <c r="I231" s="22">
        <f>F231 * G231 * 2.102378</f>
        <v>291.89416152000001</v>
      </c>
      <c r="J231" s="22">
        <f>F231 * G231 * 0</f>
        <v>0</v>
      </c>
      <c r="K231" s="22">
        <f>F231 * G231 * 197.572726</f>
        <v>27430.997277840001</v>
      </c>
      <c r="L231" s="22">
        <f>F231 * G231 * 47.3395759999999</f>
        <v>6572.6267318399869</v>
      </c>
      <c r="M231" s="22">
        <f>F231 * G231 * 41.506875</f>
        <v>5762.8145250000007</v>
      </c>
      <c r="N231" s="26">
        <f>SUM(H231:M231)</f>
        <v>68872.405460039983</v>
      </c>
      <c r="O231" s="30">
        <v>1.5754507608207515</v>
      </c>
    </row>
    <row r="232" spans="2:15" s="14" customFormat="1" ht="12.75">
      <c r="B232" s="15"/>
      <c r="C232" s="16" t="s">
        <v>565</v>
      </c>
      <c r="D232" s="50" t="s">
        <v>566</v>
      </c>
      <c r="E232" s="50"/>
      <c r="F232" s="50"/>
      <c r="G232" s="50"/>
      <c r="H232" s="50"/>
      <c r="I232" s="50"/>
      <c r="J232" s="50"/>
      <c r="K232" s="50"/>
      <c r="L232" s="50"/>
      <c r="M232" s="50"/>
      <c r="N232" s="51"/>
      <c r="O232" s="31"/>
    </row>
    <row r="233" spans="2:15">
      <c r="B233" s="17">
        <v>137</v>
      </c>
      <c r="C233" s="18" t="s">
        <v>567</v>
      </c>
      <c r="D233" s="19" t="s">
        <v>568</v>
      </c>
      <c r="E233" s="19" t="s">
        <v>569</v>
      </c>
      <c r="F233" s="20">
        <v>0.06</v>
      </c>
      <c r="G233" s="21">
        <v>1</v>
      </c>
      <c r="H233" s="22">
        <f>F233 * G233 * 7840.237925</f>
        <v>470.41427550000003</v>
      </c>
      <c r="I233" s="22">
        <f>F233 * G233 * 785.473776</f>
        <v>47.128426560000001</v>
      </c>
      <c r="J233" s="22">
        <f>F233 * G233 * 0</f>
        <v>0</v>
      </c>
      <c r="K233" s="22">
        <f>F233 * G233 * 7463.906504</f>
        <v>447.83439023999995</v>
      </c>
      <c r="L233" s="22">
        <f>F233 * G233 * 1862.88374099999</f>
        <v>111.77302445999941</v>
      </c>
      <c r="M233" s="22">
        <f>F233 * G233 * 1568.047585</f>
        <v>94.082855100000003</v>
      </c>
      <c r="N233" s="26">
        <f>SUM(H233:M233)</f>
        <v>1171.2329718599992</v>
      </c>
      <c r="O233" s="30">
        <v>2.6791860459785873E-2</v>
      </c>
    </row>
    <row r="234" spans="2:15" s="14" customFormat="1" ht="12.75">
      <c r="B234" s="15"/>
      <c r="C234" s="16" t="s">
        <v>570</v>
      </c>
      <c r="D234" s="52" t="s">
        <v>571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3"/>
      <c r="O234" s="32"/>
    </row>
    <row r="235" spans="2:15" ht="25.5">
      <c r="B235" s="17">
        <v>138</v>
      </c>
      <c r="C235" s="18" t="s">
        <v>572</v>
      </c>
      <c r="D235" s="19" t="s">
        <v>573</v>
      </c>
      <c r="E235" s="19" t="s">
        <v>574</v>
      </c>
      <c r="F235" s="20">
        <v>0.84</v>
      </c>
      <c r="G235" s="21">
        <v>1</v>
      </c>
      <c r="H235" s="22">
        <f>F235 * G235 * 12554.0585859999</f>
        <v>10545.40921224</v>
      </c>
      <c r="I235" s="22">
        <f>F235 * G235 * 0</f>
        <v>0</v>
      </c>
      <c r="J235" s="22">
        <f>F235 * G235 * 0</f>
        <v>0</v>
      </c>
      <c r="K235" s="22">
        <f>F235 * G235 * 11951.463774</f>
        <v>10039.22957016</v>
      </c>
      <c r="L235" s="22">
        <f>F235 * G235 * 2850.223245</f>
        <v>2394.1875258</v>
      </c>
      <c r="M235" s="22">
        <f>F235 * G235 * 2510.811717</f>
        <v>2109.0818422799998</v>
      </c>
      <c r="N235" s="26">
        <f>SUM(H235:M235)</f>
        <v>25087.908150479998</v>
      </c>
      <c r="O235" s="30">
        <v>0.57388389034861376</v>
      </c>
    </row>
    <row r="236" spans="2:15" ht="25.5">
      <c r="B236" s="17">
        <v>139</v>
      </c>
      <c r="C236" s="18" t="s">
        <v>575</v>
      </c>
      <c r="D236" s="19" t="s">
        <v>576</v>
      </c>
      <c r="E236" s="19" t="s">
        <v>336</v>
      </c>
      <c r="F236" s="20">
        <v>0.06</v>
      </c>
      <c r="G236" s="21">
        <v>1</v>
      </c>
      <c r="H236" s="22">
        <f>F236 * G236 * 4259.412734</f>
        <v>255.56476403999997</v>
      </c>
      <c r="I236" s="22">
        <f>F236 * G236 * 0</f>
        <v>0</v>
      </c>
      <c r="J236" s="22">
        <f>F236 * G236 * 0</f>
        <v>0</v>
      </c>
      <c r="K236" s="22">
        <f>F236 * G236 * 4054.960923</f>
        <v>243.29765538000001</v>
      </c>
      <c r="L236" s="22">
        <f>F236 * G236 * 967.040029</f>
        <v>58.022401739999999</v>
      </c>
      <c r="M236" s="22">
        <f>F236 * G236 * 851.882547</f>
        <v>51.112952820000004</v>
      </c>
      <c r="N236" s="26">
        <f>SUM(H236:M236)</f>
        <v>607.99777398000003</v>
      </c>
      <c r="O236" s="30">
        <v>1.3907900402141094E-2</v>
      </c>
    </row>
    <row r="237" spans="2:15">
      <c r="B237" s="17">
        <v>140</v>
      </c>
      <c r="C237" s="18" t="s">
        <v>577</v>
      </c>
      <c r="D237" s="19" t="s">
        <v>578</v>
      </c>
      <c r="E237" s="19" t="s">
        <v>369</v>
      </c>
      <c r="F237" s="20">
        <v>0.12</v>
      </c>
      <c r="G237" s="21">
        <v>1</v>
      </c>
      <c r="H237" s="22">
        <f>F237 * G237 * 11208.98088</f>
        <v>1345.0777055999999</v>
      </c>
      <c r="I237" s="22">
        <f>F237 * G237 * 17744.959709</f>
        <v>2129.39516508</v>
      </c>
      <c r="J237" s="22">
        <f>F237 * G237 * 0</f>
        <v>0</v>
      </c>
      <c r="K237" s="22">
        <f>F237 * G237 * 10670.949798</f>
        <v>1280.51397576</v>
      </c>
      <c r="L237" s="22">
        <f>F237 * G237 * 4416.935433</f>
        <v>530.03225195999994</v>
      </c>
      <c r="M237" s="22">
        <f>F237 * G237 * 2241.796176</f>
        <v>269.01554111999997</v>
      </c>
      <c r="N237" s="26">
        <f>SUM(H237:M237)</f>
        <v>5554.0346395200004</v>
      </c>
      <c r="O237" s="30">
        <v>0.12704809771067802</v>
      </c>
    </row>
    <row r="238" spans="2:15" s="14" customFormat="1" ht="12.75">
      <c r="B238" s="15"/>
      <c r="C238" s="16" t="s">
        <v>579</v>
      </c>
      <c r="D238" s="52" t="s">
        <v>580</v>
      </c>
      <c r="E238" s="52"/>
      <c r="F238" s="52"/>
      <c r="G238" s="52"/>
      <c r="H238" s="52"/>
      <c r="I238" s="52"/>
      <c r="J238" s="52"/>
      <c r="K238" s="52"/>
      <c r="L238" s="52"/>
      <c r="M238" s="52"/>
      <c r="N238" s="53"/>
      <c r="O238" s="32"/>
    </row>
    <row r="239" spans="2:15" ht="25.5">
      <c r="B239" s="17">
        <v>141</v>
      </c>
      <c r="C239" s="18" t="s">
        <v>581</v>
      </c>
      <c r="D239" s="19" t="s">
        <v>582</v>
      </c>
      <c r="E239" s="19" t="s">
        <v>327</v>
      </c>
      <c r="F239" s="20">
        <v>0.15</v>
      </c>
      <c r="G239" s="21">
        <v>1</v>
      </c>
      <c r="H239" s="22">
        <f>F239 * G239 * 7082.92288399999</f>
        <v>1062.4384325999999</v>
      </c>
      <c r="I239" s="22">
        <f>F239 * G239 * 3761.987848</f>
        <v>564.29817720000005</v>
      </c>
      <c r="J239" s="22">
        <f>F239 * G239 * 0</f>
        <v>0</v>
      </c>
      <c r="K239" s="22">
        <f>F239 * G239 * 6742.942586</f>
        <v>1011.4413879</v>
      </c>
      <c r="L239" s="22">
        <f>F239 * G239 * 2004.968197</f>
        <v>300.74522954999998</v>
      </c>
      <c r="M239" s="22">
        <f>F239 * G239 * 1416.584577</f>
        <v>212.48768655000001</v>
      </c>
      <c r="N239" s="26">
        <f>SUM(H239:M239)</f>
        <v>3151.4109138000003</v>
      </c>
      <c r="O239" s="30">
        <v>7.2088272344221799E-2</v>
      </c>
    </row>
    <row r="240" spans="2:15" s="14" customFormat="1" ht="12.75">
      <c r="B240" s="15"/>
      <c r="C240" s="16" t="s">
        <v>583</v>
      </c>
      <c r="D240" s="48" t="s">
        <v>584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9"/>
    </row>
    <row r="241" spans="2:15" s="14" customFormat="1" ht="12.75">
      <c r="B241" s="15"/>
      <c r="C241" s="16" t="s">
        <v>585</v>
      </c>
      <c r="D241" s="50" t="s">
        <v>586</v>
      </c>
      <c r="E241" s="50"/>
      <c r="F241" s="50"/>
      <c r="G241" s="50"/>
      <c r="H241" s="50"/>
      <c r="I241" s="50"/>
      <c r="J241" s="50"/>
      <c r="K241" s="50"/>
      <c r="L241" s="50"/>
      <c r="M241" s="50"/>
      <c r="N241" s="51"/>
      <c r="O241" s="31"/>
    </row>
    <row r="242" spans="2:15" ht="38.25">
      <c r="B242" s="17">
        <v>142</v>
      </c>
      <c r="C242" s="18" t="s">
        <v>587</v>
      </c>
      <c r="D242" s="19" t="s">
        <v>588</v>
      </c>
      <c r="E242" s="19" t="s">
        <v>589</v>
      </c>
      <c r="F242" s="20">
        <v>3</v>
      </c>
      <c r="G242" s="21">
        <v>12</v>
      </c>
      <c r="H242" s="22">
        <f>F242 * G242 * 25.29109</f>
        <v>910.47924</v>
      </c>
      <c r="I242" s="22">
        <f t="shared" ref="I242:I247" si="8">F242 * G242 * 0</f>
        <v>0</v>
      </c>
      <c r="J242" s="22">
        <f t="shared" ref="J242:J247" si="9">F242 * G242 * 0</f>
        <v>0</v>
      </c>
      <c r="K242" s="22">
        <f>F242 * G242 * 24.077118</f>
        <v>866.7762479999999</v>
      </c>
      <c r="L242" s="22">
        <f>F242 * G242 * 5.741988</f>
        <v>206.711568</v>
      </c>
      <c r="M242" s="22">
        <f>F242 * G242 * 5.058218</f>
        <v>182.09584799999999</v>
      </c>
      <c r="N242" s="26">
        <f t="shared" ref="N242:N247" si="10">SUM(H242:M242)</f>
        <v>2166.0629039999999</v>
      </c>
      <c r="O242" s="30">
        <v>4.9548515509195722E-2</v>
      </c>
    </row>
    <row r="243" spans="2:15" ht="25.5">
      <c r="B243" s="17">
        <v>143</v>
      </c>
      <c r="C243" s="18" t="s">
        <v>590</v>
      </c>
      <c r="D243" s="19" t="s">
        <v>591</v>
      </c>
      <c r="E243" s="19" t="s">
        <v>589</v>
      </c>
      <c r="F243" s="20">
        <v>3</v>
      </c>
      <c r="G243" s="21">
        <v>12</v>
      </c>
      <c r="H243" s="22">
        <f>F243 * G243 * 22.417962</f>
        <v>807.04663199999993</v>
      </c>
      <c r="I243" s="22">
        <f t="shared" si="8"/>
        <v>0</v>
      </c>
      <c r="J243" s="22">
        <f t="shared" si="9"/>
        <v>0</v>
      </c>
      <c r="K243" s="22">
        <f>F243 * G243 * 21.3419</f>
        <v>768.30840000000001</v>
      </c>
      <c r="L243" s="22">
        <f>F243 * G243 * 5.089684</f>
        <v>183.228624</v>
      </c>
      <c r="M243" s="22">
        <f>F243 * G243 * 4.483592</f>
        <v>161.409312</v>
      </c>
      <c r="N243" s="26">
        <f t="shared" si="10"/>
        <v>1919.992968</v>
      </c>
      <c r="O243" s="30">
        <v>4.3919685424101018E-2</v>
      </c>
    </row>
    <row r="244" spans="2:15" ht="38.25">
      <c r="B244" s="17">
        <v>144</v>
      </c>
      <c r="C244" s="18" t="s">
        <v>592</v>
      </c>
      <c r="D244" s="19" t="s">
        <v>593</v>
      </c>
      <c r="E244" s="19" t="s">
        <v>594</v>
      </c>
      <c r="F244" s="20">
        <v>3</v>
      </c>
      <c r="G244" s="21">
        <v>12</v>
      </c>
      <c r="H244" s="22">
        <f>F244 * G244 * 134.042777</f>
        <v>4825.5399720000005</v>
      </c>
      <c r="I244" s="22">
        <f t="shared" si="8"/>
        <v>0</v>
      </c>
      <c r="J244" s="22">
        <f t="shared" si="9"/>
        <v>0</v>
      </c>
      <c r="K244" s="22">
        <f>F244 * G244 * 127.608724</f>
        <v>4593.9140639999996</v>
      </c>
      <c r="L244" s="22">
        <f>F244 * G244 * 30.432536</f>
        <v>1095.5712960000001</v>
      </c>
      <c r="M244" s="22">
        <f>F244 * G244 * 26.808555</f>
        <v>965.10798</v>
      </c>
      <c r="N244" s="26">
        <f t="shared" si="10"/>
        <v>11480.133312</v>
      </c>
      <c r="O244" s="30">
        <v>0.26260713038704364</v>
      </c>
    </row>
    <row r="245" spans="2:15" ht="25.5">
      <c r="B245" s="17">
        <v>145</v>
      </c>
      <c r="C245" s="18" t="s">
        <v>595</v>
      </c>
      <c r="D245" s="19" t="s">
        <v>596</v>
      </c>
      <c r="E245" s="19" t="s">
        <v>589</v>
      </c>
      <c r="F245" s="20">
        <v>3</v>
      </c>
      <c r="G245" s="21">
        <v>1</v>
      </c>
      <c r="H245" s="22">
        <f>F245 * G245 * 50.58218</f>
        <v>151.74654000000001</v>
      </c>
      <c r="I245" s="22">
        <f t="shared" si="8"/>
        <v>0</v>
      </c>
      <c r="J245" s="22">
        <f t="shared" si="9"/>
        <v>0</v>
      </c>
      <c r="K245" s="22">
        <f>F245 * G245 * 48.154235</f>
        <v>144.462705</v>
      </c>
      <c r="L245" s="22">
        <f>F245 * G245 * 11.483976</f>
        <v>34.451928000000002</v>
      </c>
      <c r="M245" s="22">
        <f>F245 * G245 * 10.116436</f>
        <v>30.349308000000001</v>
      </c>
      <c r="N245" s="26">
        <f t="shared" si="10"/>
        <v>361.01048100000003</v>
      </c>
      <c r="O245" s="30">
        <v>8.2580858495745271E-3</v>
      </c>
    </row>
    <row r="246" spans="2:15" ht="25.5">
      <c r="B246" s="17">
        <v>146</v>
      </c>
      <c r="C246" s="18" t="s">
        <v>597</v>
      </c>
      <c r="D246" s="19" t="s">
        <v>598</v>
      </c>
      <c r="E246" s="19" t="s">
        <v>589</v>
      </c>
      <c r="F246" s="20">
        <v>3</v>
      </c>
      <c r="G246" s="21">
        <v>1</v>
      </c>
      <c r="H246" s="22">
        <f>F246 * G246 * 182.095849</f>
        <v>546.2875469999999</v>
      </c>
      <c r="I246" s="22">
        <f t="shared" si="8"/>
        <v>0</v>
      </c>
      <c r="J246" s="22">
        <f t="shared" si="9"/>
        <v>0</v>
      </c>
      <c r="K246" s="22">
        <f>F246 * G246 * 173.355248</f>
        <v>520.065744</v>
      </c>
      <c r="L246" s="22">
        <f>F246 * G246 * 41.342313</f>
        <v>124.026939</v>
      </c>
      <c r="M246" s="22">
        <f>F246 * G246 * 36.41917</f>
        <v>109.25751</v>
      </c>
      <c r="N246" s="26">
        <f t="shared" si="10"/>
        <v>1299.6377399999999</v>
      </c>
      <c r="O246" s="30">
        <v>2.9729109250617617E-2</v>
      </c>
    </row>
    <row r="247" spans="2:15" ht="25.5">
      <c r="B247" s="17">
        <v>147</v>
      </c>
      <c r="C247" s="18" t="s">
        <v>599</v>
      </c>
      <c r="D247" s="19" t="s">
        <v>600</v>
      </c>
      <c r="E247" s="19" t="s">
        <v>589</v>
      </c>
      <c r="F247" s="20">
        <v>3</v>
      </c>
      <c r="G247" s="21">
        <v>1</v>
      </c>
      <c r="H247" s="22">
        <f>F247 * G247 * 25.29109</f>
        <v>75.873270000000005</v>
      </c>
      <c r="I247" s="22">
        <f t="shared" si="8"/>
        <v>0</v>
      </c>
      <c r="J247" s="22">
        <f t="shared" si="9"/>
        <v>0</v>
      </c>
      <c r="K247" s="22">
        <f>F247 * G247 * 24.077118</f>
        <v>72.231353999999996</v>
      </c>
      <c r="L247" s="22">
        <f>F247 * G247 * 5.741988</f>
        <v>17.225964000000001</v>
      </c>
      <c r="M247" s="22">
        <f>F247 * G247 * 5.058218</f>
        <v>15.174654</v>
      </c>
      <c r="N247" s="26">
        <f t="shared" si="10"/>
        <v>180.50524200000001</v>
      </c>
      <c r="O247" s="30">
        <v>4.1290429590996438E-3</v>
      </c>
    </row>
    <row r="248" spans="2:15" s="14" customFormat="1" ht="12.75">
      <c r="B248" s="15"/>
      <c r="C248" s="16" t="s">
        <v>601</v>
      </c>
      <c r="D248" s="50" t="s">
        <v>602</v>
      </c>
      <c r="E248" s="50"/>
      <c r="F248" s="50"/>
      <c r="G248" s="50"/>
      <c r="H248" s="50"/>
      <c r="I248" s="50"/>
      <c r="J248" s="50"/>
      <c r="K248" s="50"/>
      <c r="L248" s="50"/>
      <c r="M248" s="50"/>
      <c r="N248" s="51"/>
      <c r="O248" s="31"/>
    </row>
    <row r="249" spans="2:15" s="14" customFormat="1" ht="12.75">
      <c r="B249" s="15"/>
      <c r="C249" s="16" t="s">
        <v>603</v>
      </c>
      <c r="D249" s="52" t="s">
        <v>604</v>
      </c>
      <c r="E249" s="52"/>
      <c r="F249" s="52"/>
      <c r="G249" s="52"/>
      <c r="H249" s="52"/>
      <c r="I249" s="52"/>
      <c r="J249" s="52"/>
      <c r="K249" s="52"/>
      <c r="L249" s="52"/>
      <c r="M249" s="52"/>
      <c r="N249" s="53"/>
      <c r="O249" s="32"/>
    </row>
    <row r="250" spans="2:15" ht="38.25">
      <c r="B250" s="17">
        <v>148</v>
      </c>
      <c r="C250" s="18" t="s">
        <v>605</v>
      </c>
      <c r="D250" s="19" t="s">
        <v>606</v>
      </c>
      <c r="E250" s="19" t="s">
        <v>607</v>
      </c>
      <c r="F250" s="20">
        <v>3</v>
      </c>
      <c r="G250" s="21">
        <v>0.3</v>
      </c>
      <c r="H250" s="22">
        <f>F250 * G250 * 40.465744</f>
        <v>36.419169599999996</v>
      </c>
      <c r="I250" s="22">
        <f>F250 * G250 * 0</f>
        <v>0</v>
      </c>
      <c r="J250" s="22">
        <f>F250 * G250 * 0</f>
        <v>0</v>
      </c>
      <c r="K250" s="22">
        <f>F250 * G250 * 38.523389</f>
        <v>34.671050099999995</v>
      </c>
      <c r="L250" s="22">
        <f>F250 * G250 * 9.18718</f>
        <v>8.2684619999999995</v>
      </c>
      <c r="M250" s="22">
        <f>F250 * G250 * 8.093149</f>
        <v>7.2838341</v>
      </c>
      <c r="N250" s="26">
        <f>SUM(H250:M250)</f>
        <v>86.642515799999984</v>
      </c>
      <c r="O250" s="30">
        <v>1.9819406121328572E-3</v>
      </c>
    </row>
    <row r="251" spans="2:15" ht="38.25">
      <c r="B251" s="17">
        <v>149</v>
      </c>
      <c r="C251" s="18" t="s">
        <v>608</v>
      </c>
      <c r="D251" s="19" t="s">
        <v>609</v>
      </c>
      <c r="E251" s="19" t="s">
        <v>607</v>
      </c>
      <c r="F251" s="20">
        <v>3</v>
      </c>
      <c r="G251" s="21">
        <v>0.3</v>
      </c>
      <c r="H251" s="22">
        <f>F251 * G251 * 306.044873</f>
        <v>275.44038569999998</v>
      </c>
      <c r="I251" s="22">
        <f>F251 * G251 * 0</f>
        <v>0</v>
      </c>
      <c r="J251" s="22">
        <f>F251 * G251 * 0</f>
        <v>0</v>
      </c>
      <c r="K251" s="22">
        <f>F251 * G251 * 291.354719</f>
        <v>262.21924709999996</v>
      </c>
      <c r="L251" s="22">
        <f>F251 * G251 * 69.483204</f>
        <v>62.534883599999993</v>
      </c>
      <c r="M251" s="22">
        <f>F251 * G251 * 61.208975</f>
        <v>55.088077499999997</v>
      </c>
      <c r="N251" s="26">
        <f>SUM(H251:M251)</f>
        <v>655.28259389999994</v>
      </c>
      <c r="O251" s="30">
        <v>1.4989536872083447E-2</v>
      </c>
    </row>
    <row r="252" spans="2:15" ht="38.25">
      <c r="B252" s="17">
        <v>150</v>
      </c>
      <c r="C252" s="18" t="s">
        <v>610</v>
      </c>
      <c r="D252" s="19" t="s">
        <v>611</v>
      </c>
      <c r="E252" s="19" t="s">
        <v>607</v>
      </c>
      <c r="F252" s="20">
        <v>3</v>
      </c>
      <c r="G252" s="21">
        <v>12</v>
      </c>
      <c r="H252" s="22">
        <f>F252 * G252 * 38.749428</f>
        <v>1394.9794080000001</v>
      </c>
      <c r="I252" s="22">
        <f>F252 * G252 * 0</f>
        <v>0</v>
      </c>
      <c r="J252" s="22">
        <f>F252 * G252 * 0</f>
        <v>0</v>
      </c>
      <c r="K252" s="22">
        <f>F252 * G252 * 36.889455</f>
        <v>1328.0203799999999</v>
      </c>
      <c r="L252" s="22">
        <f>F252 * G252 * 8.797515</f>
        <v>316.71054000000004</v>
      </c>
      <c r="M252" s="22">
        <f>F252 * G252 * 7.749886</f>
        <v>278.99589600000002</v>
      </c>
      <c r="N252" s="26">
        <f>SUM(H252:M252)</f>
        <v>3318.706224</v>
      </c>
      <c r="O252" s="30">
        <v>7.5915139171012905E-2</v>
      </c>
    </row>
    <row r="253" spans="2:15" ht="38.25">
      <c r="B253" s="17">
        <v>151</v>
      </c>
      <c r="C253" s="18" t="s">
        <v>612</v>
      </c>
      <c r="D253" s="19" t="s">
        <v>613</v>
      </c>
      <c r="E253" s="19" t="s">
        <v>607</v>
      </c>
      <c r="F253" s="20">
        <v>3</v>
      </c>
      <c r="G253" s="21">
        <v>12</v>
      </c>
      <c r="H253" s="22">
        <f>F253 * G253 * 464.993136</f>
        <v>16739.752895999998</v>
      </c>
      <c r="I253" s="22">
        <f>F253 * G253 * 0</f>
        <v>0</v>
      </c>
      <c r="J253" s="22">
        <f>F253 * G253 * 0</f>
        <v>0</v>
      </c>
      <c r="K253" s="22">
        <f>F253 * G253 * 442.673465</f>
        <v>15936.24474</v>
      </c>
      <c r="L253" s="22">
        <f>F253 * G253 * 105.570181</f>
        <v>3800.5265160000004</v>
      </c>
      <c r="M253" s="22">
        <f>F253 * G253 * 92.998627</f>
        <v>3347.9505719999997</v>
      </c>
      <c r="N253" s="26">
        <f>SUM(H253:M253)</f>
        <v>39824.474724</v>
      </c>
      <c r="O253" s="30">
        <v>0.91098167087565196</v>
      </c>
    </row>
    <row r="254" spans="2:15" s="14" customFormat="1" ht="12.75">
      <c r="B254" s="15"/>
      <c r="C254" s="16" t="s">
        <v>614</v>
      </c>
      <c r="D254" s="50" t="s">
        <v>615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51"/>
      <c r="O254" s="31"/>
    </row>
    <row r="255" spans="2:15" ht="25.5">
      <c r="B255" s="17">
        <v>152</v>
      </c>
      <c r="C255" s="18" t="s">
        <v>616</v>
      </c>
      <c r="D255" s="19" t="s">
        <v>617</v>
      </c>
      <c r="E255" s="19" t="s">
        <v>243</v>
      </c>
      <c r="F255" s="20">
        <v>3</v>
      </c>
      <c r="G255" s="21">
        <v>0.4</v>
      </c>
      <c r="H255" s="22">
        <f>F255 * G255 * 376.837242</f>
        <v>452.20469040000006</v>
      </c>
      <c r="I255" s="22">
        <f>F255 * G255 * 0</f>
        <v>0</v>
      </c>
      <c r="J255" s="22">
        <f>F255 * G255 * 0</f>
        <v>0</v>
      </c>
      <c r="K255" s="22">
        <f>F255 * G255 * 358.749054</f>
        <v>430.49886480000009</v>
      </c>
      <c r="L255" s="22">
        <f>F255 * G255 * 85.55562</f>
        <v>102.66674400000002</v>
      </c>
      <c r="M255" s="22">
        <f>F255 * G255 * 75.367448</f>
        <v>90.440937600000012</v>
      </c>
      <c r="N255" s="26">
        <f>SUM(H255:M255)</f>
        <v>1075.8112368000002</v>
      </c>
      <c r="O255" s="30">
        <v>2.460909590996432E-2</v>
      </c>
    </row>
    <row r="256" spans="2:15" ht="25.5">
      <c r="B256" s="17">
        <v>153</v>
      </c>
      <c r="C256" s="18" t="s">
        <v>618</v>
      </c>
      <c r="D256" s="19" t="s">
        <v>619</v>
      </c>
      <c r="E256" s="19" t="s">
        <v>243</v>
      </c>
      <c r="F256" s="20">
        <v>3</v>
      </c>
      <c r="G256" s="21">
        <v>0.4</v>
      </c>
      <c r="H256" s="22">
        <f>F256 * G256 * 376.837242</f>
        <v>452.20469040000006</v>
      </c>
      <c r="I256" s="22">
        <f>F256 * G256 * 0</f>
        <v>0</v>
      </c>
      <c r="J256" s="22">
        <f>F256 * G256 * 0</f>
        <v>0</v>
      </c>
      <c r="K256" s="22">
        <f>F256 * G256 * 358.749054</f>
        <v>430.49886480000009</v>
      </c>
      <c r="L256" s="22">
        <f>F256 * G256 * 85.55562</f>
        <v>102.66674400000002</v>
      </c>
      <c r="M256" s="22">
        <f>F256 * G256 * 75.367448</f>
        <v>90.440937600000012</v>
      </c>
      <c r="N256" s="26">
        <f>SUM(H256:M256)</f>
        <v>1075.8112368000002</v>
      </c>
      <c r="O256" s="30">
        <v>2.460909590996432E-2</v>
      </c>
    </row>
    <row r="257" spans="2:15" s="11" customFormat="1" ht="15">
      <c r="B257" s="12"/>
      <c r="C257" s="13" t="s">
        <v>620</v>
      </c>
      <c r="D257" s="46" t="s">
        <v>621</v>
      </c>
      <c r="E257" s="46"/>
      <c r="F257" s="46"/>
      <c r="G257" s="46"/>
      <c r="H257" s="46"/>
      <c r="I257" s="46"/>
      <c r="J257" s="46"/>
      <c r="K257" s="46"/>
      <c r="L257" s="46"/>
      <c r="M257" s="46"/>
      <c r="N257" s="47"/>
      <c r="O257" s="28"/>
    </row>
    <row r="258" spans="2:15" s="14" customFormat="1" ht="12.75">
      <c r="B258" s="15"/>
      <c r="C258" s="16" t="s">
        <v>622</v>
      </c>
      <c r="D258" s="48" t="s">
        <v>623</v>
      </c>
      <c r="E258" s="48"/>
      <c r="F258" s="48"/>
      <c r="G258" s="48"/>
      <c r="H258" s="48"/>
      <c r="I258" s="48"/>
      <c r="J258" s="48"/>
      <c r="K258" s="48"/>
      <c r="L258" s="48"/>
      <c r="M258" s="48"/>
      <c r="N258" s="49"/>
      <c r="O258" s="29"/>
    </row>
    <row r="259" spans="2:15" ht="76.5">
      <c r="B259" s="17">
        <v>154</v>
      </c>
      <c r="C259" s="18" t="s">
        <v>624</v>
      </c>
      <c r="D259" s="19" t="s">
        <v>625</v>
      </c>
      <c r="E259" s="19" t="s">
        <v>626</v>
      </c>
      <c r="F259" s="20">
        <v>3.6429999999999998</v>
      </c>
      <c r="G259" s="21">
        <v>3</v>
      </c>
      <c r="H259" s="22">
        <f>F259 * G259 * 2238.862561</f>
        <v>24468.528929168995</v>
      </c>
      <c r="I259" s="22">
        <f>F259 * G259 * 0</f>
        <v>0</v>
      </c>
      <c r="J259" s="22">
        <f>F259 * G259 * 0</f>
        <v>0</v>
      </c>
      <c r="K259" s="22">
        <f>F259 * G259 * 2131.39715799999</f>
        <v>23294.03953978189</v>
      </c>
      <c r="L259" s="22">
        <f>F259 * G259 * 508.3024</f>
        <v>5555.2369295999988</v>
      </c>
      <c r="M259" s="22">
        <f>F259 * G259 * 447.772512</f>
        <v>4893.7057836479989</v>
      </c>
      <c r="N259" s="26">
        <f>SUM(H259:M259)</f>
        <v>58211.511182198883</v>
      </c>
      <c r="O259" s="30">
        <v>1.3315836577499973</v>
      </c>
    </row>
    <row r="260" spans="2:15" s="11" customFormat="1" ht="15">
      <c r="B260" s="12"/>
      <c r="C260" s="13" t="s">
        <v>627</v>
      </c>
      <c r="D260" s="46" t="s">
        <v>628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7"/>
      <c r="O260" s="28"/>
    </row>
    <row r="261" spans="2:15" s="14" customFormat="1" ht="12.75">
      <c r="B261" s="15"/>
      <c r="C261" s="16" t="s">
        <v>629</v>
      </c>
      <c r="D261" s="48" t="s">
        <v>630</v>
      </c>
      <c r="E261" s="48"/>
      <c r="F261" s="48"/>
      <c r="G261" s="48"/>
      <c r="H261" s="48"/>
      <c r="I261" s="48"/>
      <c r="J261" s="48"/>
      <c r="K261" s="48"/>
      <c r="L261" s="48"/>
      <c r="M261" s="48"/>
      <c r="N261" s="49"/>
      <c r="O261" s="29"/>
    </row>
    <row r="262" spans="2:15" s="14" customFormat="1" ht="12.75">
      <c r="B262" s="15"/>
      <c r="C262" s="16" t="s">
        <v>631</v>
      </c>
      <c r="D262" s="50" t="s">
        <v>632</v>
      </c>
      <c r="E262" s="50"/>
      <c r="F262" s="50"/>
      <c r="G262" s="50"/>
      <c r="H262" s="50"/>
      <c r="I262" s="50"/>
      <c r="J262" s="50"/>
      <c r="K262" s="50"/>
      <c r="L262" s="50"/>
      <c r="M262" s="50"/>
      <c r="N262" s="51"/>
      <c r="O262" s="31"/>
    </row>
    <row r="263" spans="2:15" s="14" customFormat="1" ht="12.75">
      <c r="B263" s="15"/>
      <c r="C263" s="16" t="s">
        <v>633</v>
      </c>
      <c r="D263" s="52" t="s">
        <v>634</v>
      </c>
      <c r="E263" s="52"/>
      <c r="F263" s="52"/>
      <c r="G263" s="52"/>
      <c r="H263" s="52"/>
      <c r="I263" s="52"/>
      <c r="J263" s="52"/>
      <c r="K263" s="52"/>
      <c r="L263" s="52"/>
      <c r="M263" s="52"/>
      <c r="N263" s="53"/>
      <c r="O263" s="32"/>
    </row>
    <row r="264" spans="2:15" ht="38.25">
      <c r="B264" s="17">
        <v>155</v>
      </c>
      <c r="C264" s="18" t="s">
        <v>635</v>
      </c>
      <c r="D264" s="19" t="s">
        <v>636</v>
      </c>
      <c r="E264" s="19" t="s">
        <v>637</v>
      </c>
      <c r="F264" s="20">
        <v>1.821</v>
      </c>
      <c r="G264" s="21">
        <v>104</v>
      </c>
      <c r="H264" s="22">
        <f>F264 * G264 * 201.601933</f>
        <v>38180.180479272</v>
      </c>
      <c r="I264" s="22">
        <f>F264 * G264 * 3.563352</f>
        <v>674.84185516799994</v>
      </c>
      <c r="J264" s="22">
        <f>F264 * G264 * 0</f>
        <v>0</v>
      </c>
      <c r="K264" s="22">
        <f>F264 * G264 * 191.92504</f>
        <v>36347.531775359996</v>
      </c>
      <c r="L264" s="22">
        <f>F264 * G264 * 46.146831</f>
        <v>8739.4714421039989</v>
      </c>
      <c r="M264" s="22">
        <f>F264 * G264 * 40.320387</f>
        <v>7636.0361716079988</v>
      </c>
      <c r="N264" s="26">
        <f>SUM(H264:M264)</f>
        <v>91578.061723511986</v>
      </c>
      <c r="O264" s="30">
        <v>2.0948408299824317</v>
      </c>
    </row>
    <row r="265" spans="2:15" ht="38.25">
      <c r="B265" s="17">
        <v>156</v>
      </c>
      <c r="C265" s="18" t="s">
        <v>638</v>
      </c>
      <c r="D265" s="19" t="s">
        <v>639</v>
      </c>
      <c r="E265" s="19" t="s">
        <v>640</v>
      </c>
      <c r="F265" s="20">
        <v>0.9</v>
      </c>
      <c r="G265" s="21">
        <v>104</v>
      </c>
      <c r="H265" s="22">
        <f>F265 * G265 * 153.816327</f>
        <v>14397.208207200001</v>
      </c>
      <c r="I265" s="22">
        <f>F265 * G265 * 3.563352</f>
        <v>333.52974720000003</v>
      </c>
      <c r="J265" s="22">
        <f>F265 * G265 * 0</f>
        <v>0</v>
      </c>
      <c r="K265" s="22">
        <f>F265 * G265 * 146.433144</f>
        <v>13706.142278400001</v>
      </c>
      <c r="L265" s="22">
        <f>F265 * G265 * 35.2977769999999</f>
        <v>3303.8719271999908</v>
      </c>
      <c r="M265" s="22">
        <f>F265 * G265 * 30.763265</f>
        <v>2879.4416040000001</v>
      </c>
      <c r="N265" s="26">
        <f>SUM(H265:M265)</f>
        <v>34620.193763999996</v>
      </c>
      <c r="O265" s="30">
        <v>0.79193416058193788</v>
      </c>
    </row>
    <row r="266" spans="2:15" s="14" customFormat="1" ht="12.75">
      <c r="B266" s="15"/>
      <c r="C266" s="16" t="s">
        <v>641</v>
      </c>
      <c r="D266" s="52" t="s">
        <v>642</v>
      </c>
      <c r="E266" s="52"/>
      <c r="F266" s="52"/>
      <c r="G266" s="52"/>
      <c r="H266" s="52"/>
      <c r="I266" s="52"/>
      <c r="J266" s="52"/>
      <c r="K266" s="52"/>
      <c r="L266" s="52"/>
      <c r="M266" s="52"/>
      <c r="N266" s="53"/>
      <c r="O266" s="32"/>
    </row>
    <row r="267" spans="2:15" ht="25.5">
      <c r="B267" s="17">
        <v>157</v>
      </c>
      <c r="C267" s="18" t="s">
        <v>643</v>
      </c>
      <c r="D267" s="19" t="s">
        <v>644</v>
      </c>
      <c r="E267" s="19" t="s">
        <v>640</v>
      </c>
      <c r="F267" s="20">
        <v>1.821</v>
      </c>
      <c r="G267" s="21">
        <v>24</v>
      </c>
      <c r="H267" s="22">
        <f>F267 * G267 * 461.448981</f>
        <v>20167.166265624001</v>
      </c>
      <c r="I267" s="22">
        <f>F267 * G267 * 93.32508</f>
        <v>4078.67929632</v>
      </c>
      <c r="J267" s="22">
        <f>F267 * G267 * 0</f>
        <v>0</v>
      </c>
      <c r="K267" s="22">
        <f>F267 * G267 * 439.29943</f>
        <v>19199.142288719999</v>
      </c>
      <c r="L267" s="22">
        <f>F267 * G267 * 114.611325999999</f>
        <v>5008.973391503956</v>
      </c>
      <c r="M267" s="22">
        <f>F267 * G267 * 92.289796</f>
        <v>4033.4332443839999</v>
      </c>
      <c r="N267" s="26">
        <f>SUM(H267:M267)</f>
        <v>52487.394486551952</v>
      </c>
      <c r="O267" s="30">
        <v>1.2006449466225628</v>
      </c>
    </row>
    <row r="268" spans="2:15" ht="25.5">
      <c r="B268" s="17">
        <v>158</v>
      </c>
      <c r="C268" s="18" t="s">
        <v>645</v>
      </c>
      <c r="D268" s="19" t="s">
        <v>646</v>
      </c>
      <c r="E268" s="19" t="s">
        <v>637</v>
      </c>
      <c r="F268" s="20">
        <v>0.9</v>
      </c>
      <c r="G268" s="21">
        <v>24</v>
      </c>
      <c r="H268" s="22">
        <f>F268 * G268 * 372.4406</f>
        <v>8044.7169600000007</v>
      </c>
      <c r="I268" s="22">
        <f>F268 * G268 * 93.32508</f>
        <v>2015.8217280000001</v>
      </c>
      <c r="J268" s="22">
        <f>F268 * G268 * 0</f>
        <v>0</v>
      </c>
      <c r="K268" s="22">
        <f>F268 * G268 * 354.563451</f>
        <v>7658.5705416000001</v>
      </c>
      <c r="L268" s="22">
        <f>F268 * G268 * 94.40322</f>
        <v>2039.1095520000001</v>
      </c>
      <c r="M268" s="22">
        <f>F268 * G268 * 74.48812</f>
        <v>1608.9433919999999</v>
      </c>
      <c r="N268" s="26">
        <f>SUM(H268:M268)</f>
        <v>21367.162173600002</v>
      </c>
      <c r="O268" s="30">
        <v>0.48877212401866599</v>
      </c>
    </row>
    <row r="269" spans="2:15" s="14" customFormat="1" ht="12.75">
      <c r="B269" s="15"/>
      <c r="C269" s="16" t="s">
        <v>647</v>
      </c>
      <c r="D269" s="48" t="s">
        <v>648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49"/>
      <c r="O269" s="29"/>
    </row>
    <row r="270" spans="2:15" ht="25.5">
      <c r="B270" s="17">
        <v>159</v>
      </c>
      <c r="C270" s="18" t="s">
        <v>649</v>
      </c>
      <c r="D270" s="19" t="s">
        <v>650</v>
      </c>
      <c r="E270" s="19" t="s">
        <v>36</v>
      </c>
      <c r="F270" s="20">
        <v>0.24</v>
      </c>
      <c r="G270" s="21">
        <v>2</v>
      </c>
      <c r="H270" s="22">
        <f>F270 * G270 * 184.579592</f>
        <v>88.598204159999995</v>
      </c>
      <c r="I270" s="22">
        <f>F270 * G270 * 11.441322</f>
        <v>5.4918345599999991</v>
      </c>
      <c r="J270" s="22">
        <f>F270 * G270 * 0</f>
        <v>0</v>
      </c>
      <c r="K270" s="22">
        <f>F270 * G270 * 175.719772</f>
        <v>84.345490560000002</v>
      </c>
      <c r="L270" s="22">
        <f>F270 * G270 * 43.113272</f>
        <v>20.694370559999999</v>
      </c>
      <c r="M270" s="22">
        <f>F270 * G270 * 36.915918</f>
        <v>17.719640639999998</v>
      </c>
      <c r="N270" s="26">
        <f>SUM(H270:M270)</f>
        <v>216.84954048</v>
      </c>
      <c r="O270" s="30">
        <v>4.9604158770244306E-3</v>
      </c>
    </row>
    <row r="271" spans="2:15" ht="25.5">
      <c r="B271" s="17">
        <v>160</v>
      </c>
      <c r="C271" s="18" t="s">
        <v>651</v>
      </c>
      <c r="D271" s="19" t="s">
        <v>652</v>
      </c>
      <c r="E271" s="19" t="s">
        <v>653</v>
      </c>
      <c r="F271" s="20">
        <v>0.09</v>
      </c>
      <c r="G271" s="21">
        <v>2</v>
      </c>
      <c r="H271" s="22">
        <f>F271 * G271 * 464.935484</f>
        <v>83.688387119999987</v>
      </c>
      <c r="I271" s="22">
        <f>F271 * G271 * 77.736402</f>
        <v>13.992552359999999</v>
      </c>
      <c r="J271" s="22">
        <f>F271 * G271 * 0</f>
        <v>0</v>
      </c>
      <c r="K271" s="22">
        <f>F271 * G271 * 442.618580999999</f>
        <v>79.671344579999811</v>
      </c>
      <c r="L271" s="22">
        <f>F271 * G271 * 113.758283</f>
        <v>20.476490940000001</v>
      </c>
      <c r="M271" s="22">
        <f>F271 * G271 * 92.987097</f>
        <v>16.73767746</v>
      </c>
      <c r="N271" s="26">
        <f>SUM(H271:M271)</f>
        <v>214.56645245999982</v>
      </c>
      <c r="O271" s="30">
        <v>4.908190421356021E-3</v>
      </c>
    </row>
    <row r="272" spans="2:15" s="14" customFormat="1" ht="12.75">
      <c r="B272" s="15"/>
      <c r="C272" s="16" t="s">
        <v>654</v>
      </c>
      <c r="D272" s="48" t="s">
        <v>655</v>
      </c>
      <c r="E272" s="48"/>
      <c r="F272" s="48"/>
      <c r="G272" s="48"/>
      <c r="H272" s="48"/>
      <c r="I272" s="48"/>
      <c r="J272" s="48"/>
      <c r="K272" s="48"/>
      <c r="L272" s="48"/>
      <c r="M272" s="48"/>
      <c r="N272" s="49"/>
      <c r="O272" s="29"/>
    </row>
    <row r="273" spans="2:15" ht="25.5">
      <c r="B273" s="17">
        <v>161</v>
      </c>
      <c r="C273" s="18" t="s">
        <v>656</v>
      </c>
      <c r="D273" s="19" t="s">
        <v>657</v>
      </c>
      <c r="E273" s="19" t="s">
        <v>658</v>
      </c>
      <c r="F273" s="20">
        <v>0.24</v>
      </c>
      <c r="G273" s="21">
        <v>24</v>
      </c>
      <c r="H273" s="22">
        <f>F273 * G273 * 468.216899</f>
        <v>2696.9293382400001</v>
      </c>
      <c r="I273" s="22">
        <f>F273 * G273 * 77.824386</f>
        <v>448.26846336</v>
      </c>
      <c r="J273" s="22">
        <f>F273 * G273 * 0</f>
        <v>0</v>
      </c>
      <c r="K273" s="22">
        <f>F273 * G273 * 445.742487</f>
        <v>2567.4767251199996</v>
      </c>
      <c r="L273" s="22">
        <f>F273 * G273 * 114.512565</f>
        <v>659.59237439999993</v>
      </c>
      <c r="M273" s="22">
        <f>F273 * G273 * 93.64338</f>
        <v>539.38586879999991</v>
      </c>
      <c r="N273" s="26">
        <f>SUM(H273:M273)</f>
        <v>6911.6527699200005</v>
      </c>
      <c r="O273" s="30">
        <v>0.1581035037496569</v>
      </c>
    </row>
    <row r="274" spans="2:15" ht="25.5">
      <c r="B274" s="17">
        <v>162</v>
      </c>
      <c r="C274" s="18" t="s">
        <v>659</v>
      </c>
      <c r="D274" s="19" t="s">
        <v>660</v>
      </c>
      <c r="E274" s="19" t="s">
        <v>661</v>
      </c>
      <c r="F274" s="20">
        <v>0.81</v>
      </c>
      <c r="G274" s="21">
        <v>2</v>
      </c>
      <c r="H274" s="22">
        <f>F274 * G274 * 447.708056</f>
        <v>725.28705072000002</v>
      </c>
      <c r="I274" s="22">
        <f>F274 * G274 * 77.824386</f>
        <v>126.07550532000002</v>
      </c>
      <c r="J274" s="22">
        <f>F274 * G274 * 0</f>
        <v>0</v>
      </c>
      <c r="K274" s="22">
        <f>F274 * G274 * 426.218069</f>
        <v>690.47327178000012</v>
      </c>
      <c r="L274" s="22">
        <f>F274 * G274 * 109.856319</f>
        <v>177.96723678000001</v>
      </c>
      <c r="M274" s="22">
        <f>F274 * G274 * 89.541611</f>
        <v>145.05740982</v>
      </c>
      <c r="N274" s="26">
        <f>SUM(H274:M274)</f>
        <v>1864.8604744200002</v>
      </c>
      <c r="O274" s="30">
        <v>4.2658534047488338E-2</v>
      </c>
    </row>
    <row r="275" spans="2:15" ht="25.5">
      <c r="B275" s="17">
        <v>163</v>
      </c>
      <c r="C275" s="18" t="s">
        <v>662</v>
      </c>
      <c r="D275" s="19" t="s">
        <v>663</v>
      </c>
      <c r="E275" s="19" t="s">
        <v>664</v>
      </c>
      <c r="F275" s="20">
        <v>0.81</v>
      </c>
      <c r="G275" s="21">
        <v>24</v>
      </c>
      <c r="H275" s="22">
        <f>F275 * G275 * 687.046261</f>
        <v>13356.179313840001</v>
      </c>
      <c r="I275" s="22">
        <f>F275 * G275 * 199.057912</f>
        <v>3869.6858092799998</v>
      </c>
      <c r="J275" s="22">
        <f>F275 * G275 * 0</f>
        <v>0</v>
      </c>
      <c r="K275" s="22">
        <f>F275 * G275 * 654.068041</f>
        <v>12715.082717040001</v>
      </c>
      <c r="L275" s="22">
        <f>F275 * G275 * 176.984844</f>
        <v>3440.5853673600004</v>
      </c>
      <c r="M275" s="22">
        <f>F275 * G275 * 137.409252</f>
        <v>2671.2358588800003</v>
      </c>
      <c r="N275" s="26">
        <f>SUM(H275:M275)</f>
        <v>36052.769066400004</v>
      </c>
      <c r="O275" s="30">
        <v>0.82470420592917926</v>
      </c>
    </row>
    <row r="276" spans="2:15" s="14" customFormat="1" ht="12.75">
      <c r="B276" s="15"/>
      <c r="C276" s="16" t="s">
        <v>665</v>
      </c>
      <c r="D276" s="48" t="s">
        <v>666</v>
      </c>
      <c r="E276" s="48"/>
      <c r="F276" s="48"/>
      <c r="G276" s="48"/>
      <c r="H276" s="48"/>
      <c r="I276" s="48"/>
      <c r="J276" s="48"/>
      <c r="K276" s="48"/>
      <c r="L276" s="48"/>
      <c r="M276" s="48"/>
      <c r="N276" s="49"/>
      <c r="O276" s="29"/>
    </row>
    <row r="277" spans="2:15" s="14" customFormat="1" ht="12.75">
      <c r="B277" s="15"/>
      <c r="C277" s="16" t="s">
        <v>667</v>
      </c>
      <c r="D277" s="50" t="s">
        <v>668</v>
      </c>
      <c r="E277" s="50"/>
      <c r="F277" s="50"/>
      <c r="G277" s="50"/>
      <c r="H277" s="50"/>
      <c r="I277" s="50"/>
      <c r="J277" s="50"/>
      <c r="K277" s="50"/>
      <c r="L277" s="50"/>
      <c r="M277" s="50"/>
      <c r="N277" s="51"/>
      <c r="O277" s="31"/>
    </row>
    <row r="278" spans="2:15">
      <c r="B278" s="17">
        <v>164</v>
      </c>
      <c r="C278" s="18" t="s">
        <v>669</v>
      </c>
      <c r="D278" s="19" t="s">
        <v>670</v>
      </c>
      <c r="E278" s="19" t="s">
        <v>671</v>
      </c>
      <c r="F278" s="20">
        <v>1.5</v>
      </c>
      <c r="G278" s="21">
        <v>1</v>
      </c>
      <c r="H278" s="22">
        <f>F278 * G278 * 88.840152</f>
        <v>133.26022800000001</v>
      </c>
      <c r="I278" s="22">
        <f>F278 * G278 * 65.693592</f>
        <v>98.540387999999993</v>
      </c>
      <c r="J278" s="22">
        <f>F278 * G278 * 0</f>
        <v>0</v>
      </c>
      <c r="K278" s="22">
        <f>F278 * G278 * 84.575825</f>
        <v>126.86373749999998</v>
      </c>
      <c r="L278" s="22">
        <f>F278 * G278 * 27.100587</f>
        <v>40.6508805</v>
      </c>
      <c r="M278" s="22">
        <f>F278 * G278 * 17.76803</f>
        <v>26.652045000000001</v>
      </c>
      <c r="N278" s="26">
        <f>SUM(H278:M278)</f>
        <v>425.96727899999991</v>
      </c>
      <c r="O278" s="30">
        <v>9.7439674032390854E-3</v>
      </c>
    </row>
    <row r="279" spans="2:15" ht="25.5">
      <c r="B279" s="17">
        <v>165</v>
      </c>
      <c r="C279" s="18" t="s">
        <v>672</v>
      </c>
      <c r="D279" s="19" t="s">
        <v>673</v>
      </c>
      <c r="E279" s="19" t="s">
        <v>674</v>
      </c>
      <c r="F279" s="20">
        <v>3</v>
      </c>
      <c r="G279" s="21">
        <v>1</v>
      </c>
      <c r="H279" s="22">
        <f>F279 * G279 * 4051.110931</f>
        <v>12153.332793000001</v>
      </c>
      <c r="I279" s="22">
        <f>F279 * G279 * 0.71267</f>
        <v>2.13801</v>
      </c>
      <c r="J279" s="22">
        <f>F279 * G279 * 0</f>
        <v>0</v>
      </c>
      <c r="K279" s="22">
        <f>F279 * G279 * 3856.65760599999</f>
        <v>11569.972817999971</v>
      </c>
      <c r="L279" s="22">
        <f>F279 * G279 * 919.823208</f>
        <v>2759.4696240000003</v>
      </c>
      <c r="M279" s="22">
        <f>F279 * G279 * 810.222186</f>
        <v>2430.6665579999999</v>
      </c>
      <c r="N279" s="26">
        <f>SUM(H279:M279)</f>
        <v>28915.579802999975</v>
      </c>
      <c r="O279" s="30">
        <v>0.66144157294811912</v>
      </c>
    </row>
    <row r="280" spans="2:15" s="14" customFormat="1" ht="12.75">
      <c r="B280" s="15"/>
      <c r="C280" s="16" t="s">
        <v>675</v>
      </c>
      <c r="D280" s="48" t="s">
        <v>676</v>
      </c>
      <c r="E280" s="48"/>
      <c r="F280" s="48"/>
      <c r="G280" s="48"/>
      <c r="H280" s="48"/>
      <c r="I280" s="48"/>
      <c r="J280" s="48"/>
      <c r="K280" s="48"/>
      <c r="L280" s="48"/>
      <c r="M280" s="48"/>
      <c r="N280" s="49"/>
      <c r="O280" s="29"/>
    </row>
    <row r="281" spans="2:15" ht="25.5">
      <c r="B281" s="17">
        <v>166</v>
      </c>
      <c r="C281" s="18" t="s">
        <v>677</v>
      </c>
      <c r="D281" s="19" t="s">
        <v>678</v>
      </c>
      <c r="E281" s="19" t="s">
        <v>679</v>
      </c>
      <c r="F281" s="20">
        <v>0.14399999999999999</v>
      </c>
      <c r="G281" s="21">
        <v>2</v>
      </c>
      <c r="H281" s="22">
        <f>F281 * G281 * 218.829361</f>
        <v>63.022855967999995</v>
      </c>
      <c r="I281" s="22">
        <f t="shared" ref="I281:I286" si="11">F281 * G281 * 55.588968</f>
        <v>16.009622783999998</v>
      </c>
      <c r="J281" s="22">
        <f t="shared" ref="J281:J287" si="12">F281 * G281 * 0</f>
        <v>0</v>
      </c>
      <c r="K281" s="22">
        <f>F281 * G281 * 208.325552</f>
        <v>59.997758975999993</v>
      </c>
      <c r="L281" s="22">
        <f>F281 * G281 * 55.546779</f>
        <v>15.997472351999999</v>
      </c>
      <c r="M281" s="22">
        <f>F281 * G281 * 43.765872</f>
        <v>12.604571135999999</v>
      </c>
      <c r="N281" s="26">
        <f t="shared" ref="N281:N287" si="13">SUM(H281:M281)</f>
        <v>167.63228121599997</v>
      </c>
      <c r="O281" s="30">
        <v>3.8345750118034577E-3</v>
      </c>
    </row>
    <row r="282" spans="2:15" ht="25.5">
      <c r="B282" s="17">
        <v>167</v>
      </c>
      <c r="C282" s="18" t="s">
        <v>680</v>
      </c>
      <c r="D282" s="19" t="s">
        <v>681</v>
      </c>
      <c r="E282" s="19" t="s">
        <v>682</v>
      </c>
      <c r="F282" s="20">
        <v>0.27</v>
      </c>
      <c r="G282" s="21">
        <v>2</v>
      </c>
      <c r="H282" s="22">
        <f>F282 * G282 * 447.708056</f>
        <v>241.76235024000002</v>
      </c>
      <c r="I282" s="22">
        <f t="shared" si="11"/>
        <v>30.018042720000004</v>
      </c>
      <c r="J282" s="22">
        <f t="shared" si="12"/>
        <v>0</v>
      </c>
      <c r="K282" s="22">
        <f>F282 * G282 * 426.218069</f>
        <v>230.15775726000001</v>
      </c>
      <c r="L282" s="22">
        <f>F282 * G282 * 107.510483</f>
        <v>58.05566082</v>
      </c>
      <c r="M282" s="22">
        <f>F282 * G282 * 89.541611</f>
        <v>48.352469940000006</v>
      </c>
      <c r="N282" s="26">
        <f t="shared" si="13"/>
        <v>608.34628097999996</v>
      </c>
      <c r="O282" s="30">
        <v>1.3915872471863848E-2</v>
      </c>
    </row>
    <row r="283" spans="2:15" ht="51">
      <c r="B283" s="17">
        <v>168</v>
      </c>
      <c r="C283" s="18" t="s">
        <v>683</v>
      </c>
      <c r="D283" s="19" t="s">
        <v>684</v>
      </c>
      <c r="E283" s="19" t="s">
        <v>685</v>
      </c>
      <c r="F283" s="20">
        <v>0.17100000000000001</v>
      </c>
      <c r="G283" s="21">
        <v>2</v>
      </c>
      <c r="H283" s="22">
        <f>F283 * G283 * 276.869389</f>
        <v>94.689331038000006</v>
      </c>
      <c r="I283" s="22">
        <f t="shared" si="11"/>
        <v>19.011427056000002</v>
      </c>
      <c r="J283" s="22">
        <f t="shared" si="12"/>
        <v>0</v>
      </c>
      <c r="K283" s="22">
        <f>F283 * G283 * 263.579658</f>
        <v>90.144243036000006</v>
      </c>
      <c r="L283" s="22">
        <f>F283 * G283 * 68.7239539999999</f>
        <v>23.50359226799997</v>
      </c>
      <c r="M283" s="22">
        <f>F283 * G283 * 55.373878</f>
        <v>18.937866276000001</v>
      </c>
      <c r="N283" s="26">
        <f t="shared" si="13"/>
        <v>246.28645967399999</v>
      </c>
      <c r="O283" s="30">
        <v>5.6337830468020864E-3</v>
      </c>
    </row>
    <row r="284" spans="2:15" ht="25.5">
      <c r="B284" s="17">
        <v>169</v>
      </c>
      <c r="C284" s="18" t="s">
        <v>686</v>
      </c>
      <c r="D284" s="19" t="s">
        <v>687</v>
      </c>
      <c r="E284" s="19" t="s">
        <v>688</v>
      </c>
      <c r="F284" s="20">
        <v>0.3</v>
      </c>
      <c r="G284" s="21">
        <v>2</v>
      </c>
      <c r="H284" s="22">
        <f>F284 * G284 * 372.645688</f>
        <v>223.58741280000001</v>
      </c>
      <c r="I284" s="22">
        <f t="shared" si="11"/>
        <v>33.353380799999996</v>
      </c>
      <c r="J284" s="22">
        <f t="shared" si="12"/>
        <v>0</v>
      </c>
      <c r="K284" s="22">
        <f>F284 * G284 * 354.758695</f>
        <v>212.85521699999998</v>
      </c>
      <c r="L284" s="22">
        <f>F284 * G284 * 90.468622</f>
        <v>54.281173199999998</v>
      </c>
      <c r="M284" s="22">
        <f>F284 * G284 * 74.529138</f>
        <v>44.717482799999999</v>
      </c>
      <c r="N284" s="26">
        <f t="shared" si="13"/>
        <v>568.79466659999991</v>
      </c>
      <c r="O284" s="30">
        <v>1.3011132459511389E-2</v>
      </c>
    </row>
    <row r="285" spans="2:15">
      <c r="B285" s="17">
        <v>170</v>
      </c>
      <c r="C285" s="18" t="s">
        <v>689</v>
      </c>
      <c r="D285" s="19" t="s">
        <v>690</v>
      </c>
      <c r="E285" s="19" t="s">
        <v>691</v>
      </c>
      <c r="F285" s="20">
        <v>0.69599999999999995</v>
      </c>
      <c r="G285" s="21">
        <v>2</v>
      </c>
      <c r="H285" s="22">
        <f>F285 * G285 * 311.119157</f>
        <v>433.07786654399996</v>
      </c>
      <c r="I285" s="22">
        <f t="shared" si="11"/>
        <v>77.379843456000003</v>
      </c>
      <c r="J285" s="22">
        <f t="shared" si="12"/>
        <v>0</v>
      </c>
      <c r="K285" s="22">
        <f>F285 * G285 * 296.185437</f>
        <v>412.29012830399995</v>
      </c>
      <c r="L285" s="22">
        <f>F285 * G285 * 76.4998849999999</f>
        <v>106.48783991999986</v>
      </c>
      <c r="M285" s="22">
        <f>F285 * G285 * 62.223831</f>
        <v>86.615572751999991</v>
      </c>
      <c r="N285" s="26">
        <f t="shared" si="13"/>
        <v>1115.8512509759998</v>
      </c>
      <c r="O285" s="30">
        <v>2.5525008028547898E-2</v>
      </c>
    </row>
    <row r="286" spans="2:15" ht="38.25">
      <c r="B286" s="17">
        <v>171</v>
      </c>
      <c r="C286" s="18" t="s">
        <v>692</v>
      </c>
      <c r="D286" s="19" t="s">
        <v>693</v>
      </c>
      <c r="E286" s="19" t="s">
        <v>694</v>
      </c>
      <c r="F286" s="20">
        <v>9.9000000000000005E-2</v>
      </c>
      <c r="G286" s="21">
        <v>2</v>
      </c>
      <c r="H286" s="22">
        <f>F286 * G286 * 584.502043</f>
        <v>115.73140451399999</v>
      </c>
      <c r="I286" s="22">
        <f t="shared" si="11"/>
        <v>11.006615664</v>
      </c>
      <c r="J286" s="22">
        <f t="shared" si="12"/>
        <v>0</v>
      </c>
      <c r="K286" s="22">
        <f>F286 * G286 * 556.445945</f>
        <v>110.17629711000002</v>
      </c>
      <c r="L286" s="22">
        <f>F286 * G286 * 138.567641999999</f>
        <v>27.436393115999806</v>
      </c>
      <c r="M286" s="22">
        <f>F286 * G286 * 116.900409</f>
        <v>23.146280982</v>
      </c>
      <c r="N286" s="26">
        <f t="shared" si="13"/>
        <v>287.49699138599982</v>
      </c>
      <c r="O286" s="30">
        <v>6.5764706603074347E-3</v>
      </c>
    </row>
    <row r="287" spans="2:15">
      <c r="B287" s="17">
        <v>172</v>
      </c>
      <c r="C287" s="18" t="s">
        <v>695</v>
      </c>
      <c r="D287" s="19" t="s">
        <v>696</v>
      </c>
      <c r="E287" s="19" t="s">
        <v>697</v>
      </c>
      <c r="F287" s="20">
        <v>4.1040000000000001</v>
      </c>
      <c r="G287" s="21">
        <v>2</v>
      </c>
      <c r="H287" s="22">
        <f>F287 * G287 * 215.342858</f>
        <v>1767.5341784640002</v>
      </c>
      <c r="I287" s="22">
        <f>F287 * G287 * 13.576608</f>
        <v>111.43679846400001</v>
      </c>
      <c r="J287" s="22">
        <f t="shared" si="12"/>
        <v>0</v>
      </c>
      <c r="K287" s="22">
        <f>F287 * G287 * 205.006400999999</f>
        <v>1682.6925394079917</v>
      </c>
      <c r="L287" s="22">
        <f>F287 * G287 * 50.322913</f>
        <v>413.05046990400001</v>
      </c>
      <c r="M287" s="22">
        <f>F287 * G287 * 43.068572</f>
        <v>353.50683897600004</v>
      </c>
      <c r="N287" s="26">
        <f t="shared" si="13"/>
        <v>4328.2208252159917</v>
      </c>
      <c r="O287" s="30">
        <v>9.9007704849848832E-2</v>
      </c>
    </row>
    <row r="288" spans="2:15" s="11" customFormat="1" ht="15">
      <c r="B288" s="12"/>
      <c r="C288" s="13" t="s">
        <v>698</v>
      </c>
      <c r="D288" s="46" t="s">
        <v>699</v>
      </c>
      <c r="E288" s="46"/>
      <c r="F288" s="46"/>
      <c r="G288" s="46"/>
      <c r="H288" s="46"/>
      <c r="I288" s="46"/>
      <c r="J288" s="46"/>
      <c r="K288" s="46"/>
      <c r="L288" s="46"/>
      <c r="M288" s="46"/>
      <c r="N288" s="47"/>
      <c r="O288" s="28"/>
    </row>
    <row r="289" spans="2:15" s="14" customFormat="1" ht="12.75">
      <c r="B289" s="15"/>
      <c r="C289" s="16" t="s">
        <v>700</v>
      </c>
      <c r="D289" s="48" t="s">
        <v>701</v>
      </c>
      <c r="E289" s="48"/>
      <c r="F289" s="48"/>
      <c r="G289" s="48"/>
      <c r="H289" s="48"/>
      <c r="I289" s="48"/>
      <c r="J289" s="48"/>
      <c r="K289" s="48"/>
      <c r="L289" s="48"/>
      <c r="M289" s="48"/>
      <c r="N289" s="49"/>
      <c r="O289" s="29"/>
    </row>
    <row r="290" spans="2:15" ht="25.5">
      <c r="B290" s="17">
        <v>173</v>
      </c>
      <c r="C290" s="18" t="s">
        <v>702</v>
      </c>
      <c r="D290" s="19" t="s">
        <v>703</v>
      </c>
      <c r="E290" s="19" t="s">
        <v>704</v>
      </c>
      <c r="F290" s="20">
        <v>0.96599999999999997</v>
      </c>
      <c r="G290" s="21">
        <v>123.5</v>
      </c>
      <c r="H290" s="22">
        <f>F290 * G290 * 315.666072</f>
        <v>37659.278055671995</v>
      </c>
      <c r="I290" s="22">
        <f>F290 * G290 * 1.874285</f>
        <v>223.60407478499999</v>
      </c>
      <c r="J290" s="22">
        <f>F290 * G290 * 0</f>
        <v>0</v>
      </c>
      <c r="K290" s="22">
        <f>F290 * G290 * 300.514101</f>
        <v>35851.632763401001</v>
      </c>
      <c r="L290" s="22">
        <f>F290 * G290 * 71.865299</f>
        <v>8573.6020359989998</v>
      </c>
      <c r="M290" s="22">
        <f>F290 * G290 * 63.133214</f>
        <v>7531.8555634140002</v>
      </c>
      <c r="N290" s="26">
        <f>SUM(H290:M290)</f>
        <v>89839.972493271009</v>
      </c>
      <c r="O290" s="30">
        <v>2.0550821779959514</v>
      </c>
    </row>
    <row r="291" spans="2:15" s="14" customFormat="1" ht="12.75">
      <c r="B291" s="15"/>
      <c r="C291" s="16" t="s">
        <v>705</v>
      </c>
      <c r="D291" s="48" t="s">
        <v>706</v>
      </c>
      <c r="E291" s="48"/>
      <c r="F291" s="48"/>
      <c r="G291" s="48"/>
      <c r="H291" s="48"/>
      <c r="I291" s="48"/>
      <c r="J291" s="48"/>
      <c r="K291" s="48"/>
      <c r="L291" s="48"/>
      <c r="M291" s="48"/>
      <c r="N291" s="49"/>
      <c r="O291" s="29"/>
    </row>
    <row r="292" spans="2:15" s="14" customFormat="1" ht="12.75">
      <c r="B292" s="15"/>
      <c r="C292" s="16" t="s">
        <v>707</v>
      </c>
      <c r="D292" s="50" t="s">
        <v>708</v>
      </c>
      <c r="E292" s="50"/>
      <c r="F292" s="50"/>
      <c r="G292" s="50"/>
      <c r="H292" s="50"/>
      <c r="I292" s="50"/>
      <c r="J292" s="50"/>
      <c r="K292" s="50"/>
      <c r="L292" s="50"/>
      <c r="M292" s="50"/>
      <c r="N292" s="51"/>
      <c r="O292" s="31"/>
    </row>
    <row r="293" spans="2:15" ht="25.5">
      <c r="B293" s="17">
        <v>174</v>
      </c>
      <c r="C293" s="18" t="s">
        <v>709</v>
      </c>
      <c r="D293" s="19" t="s">
        <v>710</v>
      </c>
      <c r="E293" s="19" t="s">
        <v>711</v>
      </c>
      <c r="F293" s="20">
        <v>3.3000000000000002E-2</v>
      </c>
      <c r="G293" s="21">
        <v>2</v>
      </c>
      <c r="H293" s="22">
        <f>F293 * G293 * 333938.790072</f>
        <v>22039.960144752</v>
      </c>
      <c r="I293" s="22">
        <f>F293 * G293 * 1969.026874</f>
        <v>129.95577368400001</v>
      </c>
      <c r="J293" s="22">
        <f>F293 * G293 * 0</f>
        <v>0</v>
      </c>
      <c r="K293" s="22">
        <f>F293 * G293 * 317909.728149</f>
        <v>20982.042057833998</v>
      </c>
      <c r="L293" s="22">
        <f>F293 * G293 * 76023.859478</f>
        <v>5017.5747255480001</v>
      </c>
      <c r="M293" s="22">
        <f>F293 * G293 * 66787.758014</f>
        <v>4407.9920289240008</v>
      </c>
      <c r="N293" s="26">
        <f>SUM(H293:M293)</f>
        <v>52577.524730742007</v>
      </c>
      <c r="O293" s="30">
        <v>1.2027066687423829</v>
      </c>
    </row>
    <row r="294" spans="2:15">
      <c r="B294" s="17">
        <v>175</v>
      </c>
      <c r="C294" s="18" t="s">
        <v>712</v>
      </c>
      <c r="D294" s="19" t="s">
        <v>713</v>
      </c>
      <c r="E294" s="19" t="s">
        <v>714</v>
      </c>
      <c r="F294" s="20">
        <v>3.3000000000000002E-2</v>
      </c>
      <c r="G294" s="21">
        <v>24</v>
      </c>
      <c r="H294" s="22">
        <f>F294 * G294 * 24257.141928</f>
        <v>19211.656406976002</v>
      </c>
      <c r="I294" s="22">
        <f>F294 * G294 * 145.10592</f>
        <v>114.92388864</v>
      </c>
      <c r="J294" s="22">
        <f>F294 * G294 * 0</f>
        <v>0</v>
      </c>
      <c r="K294" s="22">
        <f>F294 * G294 * 23092.799115</f>
        <v>18289.496899080001</v>
      </c>
      <c r="L294" s="22">
        <f>F294 * G294 * 5522.55315</f>
        <v>4373.8620947999998</v>
      </c>
      <c r="M294" s="22">
        <f>F294 * G294 * 4851.428386</f>
        <v>3842.331281712</v>
      </c>
      <c r="N294" s="26">
        <f>SUM(H294:M294)</f>
        <v>45832.270571208006</v>
      </c>
      <c r="O294" s="30">
        <v>1.0484095198830634</v>
      </c>
    </row>
    <row r="295" spans="2:15">
      <c r="B295" s="17">
        <v>176</v>
      </c>
      <c r="C295" s="18" t="s">
        <v>715</v>
      </c>
      <c r="D295" s="19" t="s">
        <v>716</v>
      </c>
      <c r="E295" s="19" t="s">
        <v>717</v>
      </c>
      <c r="F295" s="20">
        <v>3.3449999999999998</v>
      </c>
      <c r="G295" s="21">
        <v>1</v>
      </c>
      <c r="H295" s="22">
        <f>F295 * G295 * 200.986667</f>
        <v>672.300401115</v>
      </c>
      <c r="I295" s="22">
        <f>F295 * G295 * 36.27648</f>
        <v>121.34482559999999</v>
      </c>
      <c r="J295" s="22">
        <f>F295 * G295 * 26.2218</f>
        <v>87.711921000000004</v>
      </c>
      <c r="K295" s="22">
        <f>F295 * G295 * 191.339307</f>
        <v>640.02998191499989</v>
      </c>
      <c r="L295" s="22">
        <f>F295 * G295 * 52.224778</f>
        <v>174.69188240999998</v>
      </c>
      <c r="M295" s="22">
        <f>F295 * G295 * 40.197333</f>
        <v>134.460078885</v>
      </c>
      <c r="N295" s="26">
        <f>SUM(H295:M295)</f>
        <v>1830.539090925</v>
      </c>
      <c r="O295" s="30">
        <v>4.1873435147886356E-2</v>
      </c>
    </row>
    <row r="296" spans="2:15" s="14" customFormat="1" ht="12.75">
      <c r="B296" s="15"/>
      <c r="C296" s="16" t="s">
        <v>718</v>
      </c>
      <c r="D296" s="50" t="s">
        <v>719</v>
      </c>
      <c r="E296" s="50"/>
      <c r="F296" s="50"/>
      <c r="G296" s="50"/>
      <c r="H296" s="50"/>
      <c r="I296" s="50"/>
      <c r="J296" s="50"/>
      <c r="K296" s="50"/>
      <c r="L296" s="50"/>
      <c r="M296" s="50"/>
      <c r="N296" s="51"/>
      <c r="O296" s="31"/>
    </row>
    <row r="297" spans="2:15">
      <c r="B297" s="17">
        <v>177</v>
      </c>
      <c r="C297" s="18" t="s">
        <v>720</v>
      </c>
      <c r="D297" s="19" t="s">
        <v>721</v>
      </c>
      <c r="E297" s="19" t="s">
        <v>722</v>
      </c>
      <c r="F297" s="20">
        <v>0.06</v>
      </c>
      <c r="G297" s="21">
        <v>247</v>
      </c>
      <c r="H297" s="22">
        <f>F297 * G297 * 455.542056</f>
        <v>6751.1332699200002</v>
      </c>
      <c r="I297" s="22">
        <f>F297 * G297 * 604.608</f>
        <v>8960.2905599999995</v>
      </c>
      <c r="J297" s="22">
        <f>F297 * G297 * 0</f>
        <v>0</v>
      </c>
      <c r="K297" s="22">
        <f>F297 * G297 * 433.676036999999</f>
        <v>6427.0788683399851</v>
      </c>
      <c r="L297" s="22">
        <f>F297 * G297 * 167.210591</f>
        <v>2478.0609586199998</v>
      </c>
      <c r="M297" s="22">
        <f>F297 * G297 * 91.108411</f>
        <v>1350.2266510200002</v>
      </c>
      <c r="N297" s="26">
        <f>SUM(H297:M297)</f>
        <v>25966.790307899984</v>
      </c>
      <c r="O297" s="30">
        <v>0.59398824933433947</v>
      </c>
    </row>
    <row r="298" spans="2:15" s="14" customFormat="1" ht="12.75">
      <c r="B298" s="15"/>
      <c r="C298" s="16" t="s">
        <v>723</v>
      </c>
      <c r="D298" s="48" t="s">
        <v>724</v>
      </c>
      <c r="E298" s="48"/>
      <c r="F298" s="48"/>
      <c r="G298" s="48"/>
      <c r="H298" s="48"/>
      <c r="I298" s="48"/>
      <c r="J298" s="48"/>
      <c r="K298" s="48"/>
      <c r="L298" s="48"/>
      <c r="M298" s="48"/>
      <c r="N298" s="49"/>
      <c r="O298" s="29"/>
    </row>
    <row r="299" spans="2:15">
      <c r="B299" s="17">
        <v>178</v>
      </c>
      <c r="C299" s="18" t="s">
        <v>725</v>
      </c>
      <c r="D299" s="19" t="s">
        <v>726</v>
      </c>
      <c r="E299" s="19" t="s">
        <v>727</v>
      </c>
      <c r="F299" s="20">
        <v>0.03</v>
      </c>
      <c r="G299" s="21">
        <v>1</v>
      </c>
      <c r="H299" s="22">
        <f>F299 * G299 * 32662.93248</f>
        <v>979.88797439999996</v>
      </c>
      <c r="I299" s="22">
        <f>F299 * G299 * 0</f>
        <v>0</v>
      </c>
      <c r="J299" s="22">
        <f>F299 * G299 * 427690.9296</f>
        <v>12830.727887999999</v>
      </c>
      <c r="K299" s="22">
        <f>F299 * G299 * 129693.4229</f>
        <v>3890.8026869999999</v>
      </c>
      <c r="L299" s="22">
        <f>F299 * G299 * 65124.496153</f>
        <v>1953.7348845899999</v>
      </c>
      <c r="M299" s="22">
        <f>F299 * G299 * 27246.517416</f>
        <v>817.39552247999995</v>
      </c>
      <c r="N299" s="26">
        <f>SUM(H299:M299)</f>
        <v>20472.548956470004</v>
      </c>
      <c r="O299" s="30">
        <v>0.46830791830153728</v>
      </c>
    </row>
    <row r="300" spans="2:15">
      <c r="B300" s="17">
        <v>179</v>
      </c>
      <c r="C300" s="18" t="s">
        <v>728</v>
      </c>
      <c r="D300" s="19" t="s">
        <v>729</v>
      </c>
      <c r="E300" s="19" t="s">
        <v>730</v>
      </c>
      <c r="F300" s="20">
        <v>1.4999999999999999E-2</v>
      </c>
      <c r="G300" s="21">
        <v>1</v>
      </c>
      <c r="H300" s="22">
        <f>F300 * G300 * 14573.56536</f>
        <v>218.6034804</v>
      </c>
      <c r="I300" s="22">
        <f>F300 * G300 * 0</f>
        <v>0</v>
      </c>
      <c r="J300" s="22">
        <f>F300 * G300 * 0</f>
        <v>0</v>
      </c>
      <c r="K300" s="22">
        <f>F300 * G300 * 13874.0342229999</f>
        <v>208.11051334499851</v>
      </c>
      <c r="L300" s="22">
        <f>F300 * G300 * 3308.723985</f>
        <v>49.630859774999998</v>
      </c>
      <c r="M300" s="22">
        <f>F300 * G300 * 2914.713072</f>
        <v>43.720696079999996</v>
      </c>
      <c r="N300" s="26">
        <f>SUM(H300:M300)</f>
        <v>520.06554959999846</v>
      </c>
      <c r="O300" s="30">
        <v>1.1896457809497633E-2</v>
      </c>
    </row>
    <row r="301" spans="2:15" s="14" customFormat="1" ht="12.75">
      <c r="B301" s="15"/>
      <c r="C301" s="16" t="s">
        <v>731</v>
      </c>
      <c r="D301" s="48" t="s">
        <v>732</v>
      </c>
      <c r="E301" s="48"/>
      <c r="F301" s="48"/>
      <c r="G301" s="48"/>
      <c r="H301" s="48"/>
      <c r="I301" s="48"/>
      <c r="J301" s="48"/>
      <c r="K301" s="48"/>
      <c r="L301" s="48"/>
      <c r="M301" s="48"/>
      <c r="N301" s="49"/>
      <c r="O301" s="29"/>
    </row>
    <row r="302" spans="2:15" s="14" customFormat="1" ht="12.75">
      <c r="B302" s="15"/>
      <c r="C302" s="16" t="s">
        <v>733</v>
      </c>
      <c r="D302" s="50" t="s">
        <v>734</v>
      </c>
      <c r="E302" s="50"/>
      <c r="F302" s="50"/>
      <c r="G302" s="50"/>
      <c r="H302" s="50"/>
      <c r="I302" s="50"/>
      <c r="J302" s="50"/>
      <c r="K302" s="50"/>
      <c r="L302" s="50"/>
      <c r="M302" s="50"/>
      <c r="N302" s="51"/>
      <c r="O302" s="31"/>
    </row>
    <row r="303" spans="2:15">
      <c r="B303" s="17">
        <v>180</v>
      </c>
      <c r="C303" s="18" t="s">
        <v>735</v>
      </c>
      <c r="D303" s="19" t="s">
        <v>736</v>
      </c>
      <c r="E303" s="19" t="s">
        <v>737</v>
      </c>
      <c r="F303" s="20">
        <v>3</v>
      </c>
      <c r="G303" s="21">
        <v>1</v>
      </c>
      <c r="H303" s="22">
        <f>F303 * G303 * 86.395555</f>
        <v>259.186665</v>
      </c>
      <c r="I303" s="22">
        <f>F303 * G303 * 31.509672</f>
        <v>94.529015999999999</v>
      </c>
      <c r="J303" s="22">
        <f>F303 * G303 * 0</f>
        <v>0</v>
      </c>
      <c r="K303" s="22">
        <f>F303 * G303 * 82.248569</f>
        <v>246.74570700000001</v>
      </c>
      <c r="L303" s="22">
        <f>F303 * G303 * 22.939172</f>
        <v>68.817515999999998</v>
      </c>
      <c r="M303" s="22">
        <f>F303 * G303 * 17.279111</f>
        <v>51.837333000000001</v>
      </c>
      <c r="N303" s="26">
        <f>SUM(H303:M303)</f>
        <v>721.11623699999996</v>
      </c>
      <c r="O303" s="30">
        <v>1.6495476187208345E-2</v>
      </c>
    </row>
    <row r="304" spans="2:15">
      <c r="B304" s="17">
        <v>181</v>
      </c>
      <c r="C304" s="18" t="s">
        <v>738</v>
      </c>
      <c r="D304" s="19" t="s">
        <v>739</v>
      </c>
      <c r="E304" s="19" t="s">
        <v>740</v>
      </c>
      <c r="F304" s="20">
        <v>3</v>
      </c>
      <c r="G304" s="21">
        <v>1</v>
      </c>
      <c r="H304" s="22">
        <f>F304 * G304 * 121.412354</f>
        <v>364.23706199999998</v>
      </c>
      <c r="I304" s="22">
        <f>F304 * G304 * 40.520534</f>
        <v>121.56160199999999</v>
      </c>
      <c r="J304" s="22">
        <f>F304 * G304 * 0</f>
        <v>0</v>
      </c>
      <c r="K304" s="22">
        <f>F304 * G304 * 115.584561</f>
        <v>346.75368299999997</v>
      </c>
      <c r="L304" s="22">
        <f>F304 * G304 * 31.839892</f>
        <v>95.519676000000004</v>
      </c>
      <c r="M304" s="22">
        <f>F304 * G304 * 24.282471</f>
        <v>72.847413000000003</v>
      </c>
      <c r="N304" s="26">
        <f>SUM(H304:M304)</f>
        <v>1000.9194359999999</v>
      </c>
      <c r="O304" s="30">
        <v>2.2895951962668127E-2</v>
      </c>
    </row>
    <row r="305" spans="2:15">
      <c r="B305" s="17">
        <v>182</v>
      </c>
      <c r="C305" s="18" t="s">
        <v>741</v>
      </c>
      <c r="D305" s="19" t="s">
        <v>742</v>
      </c>
      <c r="E305" s="19" t="s">
        <v>740</v>
      </c>
      <c r="F305" s="20">
        <v>3</v>
      </c>
      <c r="G305" s="21">
        <v>1</v>
      </c>
      <c r="H305" s="22">
        <f>F305 * G305 * 123.463238</f>
        <v>370.38971400000003</v>
      </c>
      <c r="I305" s="22">
        <f>F305 * G305 * 41.514018</f>
        <v>124.54205400000001</v>
      </c>
      <c r="J305" s="22">
        <f>F305 * G305 * 0</f>
        <v>0</v>
      </c>
      <c r="K305" s="22">
        <f>F305 * G305 * 117.537003</f>
        <v>352.61100899999997</v>
      </c>
      <c r="L305" s="22">
        <f>F305 * G305 * 32.410329</f>
        <v>97.230986999999999</v>
      </c>
      <c r="M305" s="22">
        <f>F305 * G305 * 24.692648</f>
        <v>74.077944000000002</v>
      </c>
      <c r="N305" s="26">
        <f>SUM(H305:M305)</f>
        <v>1018.851708</v>
      </c>
      <c r="O305" s="30">
        <v>2.3306151248970629E-2</v>
      </c>
    </row>
    <row r="306" spans="2:15">
      <c r="B306" s="17">
        <v>183</v>
      </c>
      <c r="C306" s="18" t="s">
        <v>743</v>
      </c>
      <c r="D306" s="19" t="s">
        <v>744</v>
      </c>
      <c r="E306" s="19" t="s">
        <v>745</v>
      </c>
      <c r="F306" s="20">
        <v>3</v>
      </c>
      <c r="G306" s="21">
        <v>1</v>
      </c>
      <c r="H306" s="22">
        <f>F306 * G306 * 123.668327</f>
        <v>371.00498100000004</v>
      </c>
      <c r="I306" s="22">
        <f>F306 * G306 * 46.331865</f>
        <v>138.99559500000001</v>
      </c>
      <c r="J306" s="22">
        <f>F306 * G306 * 0</f>
        <v>0</v>
      </c>
      <c r="K306" s="22">
        <f>F306 * G306 * 117.732248</f>
        <v>353.19674399999997</v>
      </c>
      <c r="L306" s="22">
        <f>F306 * G306 * 32.965175</f>
        <v>98.895525000000006</v>
      </c>
      <c r="M306" s="22">
        <f>F306 * G306 * 24.733665</f>
        <v>74.200994999999992</v>
      </c>
      <c r="N306" s="26">
        <f>SUM(H306:M306)</f>
        <v>1036.29384</v>
      </c>
      <c r="O306" s="30">
        <v>2.3705138622014826E-2</v>
      </c>
    </row>
    <row r="307" spans="2:15" ht="25.5">
      <c r="B307" s="17">
        <v>184</v>
      </c>
      <c r="C307" s="18" t="s">
        <v>746</v>
      </c>
      <c r="D307" s="19" t="s">
        <v>747</v>
      </c>
      <c r="E307" s="19" t="s">
        <v>748</v>
      </c>
      <c r="F307" s="20">
        <v>3</v>
      </c>
      <c r="G307" s="21">
        <v>1</v>
      </c>
      <c r="H307" s="22">
        <f>F307 * G307 * 266.614967</f>
        <v>799.84490099999994</v>
      </c>
      <c r="I307" s="22">
        <f>F307 * G307 * 27.800275</f>
        <v>83.400824999999998</v>
      </c>
      <c r="J307" s="22">
        <f>F307 * G307 * 0</f>
        <v>0</v>
      </c>
      <c r="K307" s="22">
        <f>F307 * G307 * 253.817449</f>
        <v>761.45234700000003</v>
      </c>
      <c r="L307" s="22">
        <f>F307 * G307 * 63.464124</f>
        <v>190.39237199999999</v>
      </c>
      <c r="M307" s="22">
        <f>F307 * G307 * 53.322993</f>
        <v>159.96897899999999</v>
      </c>
      <c r="N307" s="26">
        <f>SUM(H307:M307)</f>
        <v>1995.059424</v>
      </c>
      <c r="O307" s="30">
        <v>4.5636824595113916E-2</v>
      </c>
    </row>
    <row r="308" spans="2:15" s="14" customFormat="1" ht="12.75">
      <c r="B308" s="15"/>
      <c r="C308" s="16" t="s">
        <v>749</v>
      </c>
      <c r="D308" s="50" t="s">
        <v>750</v>
      </c>
      <c r="E308" s="50"/>
      <c r="F308" s="50"/>
      <c r="G308" s="50"/>
      <c r="H308" s="50"/>
      <c r="I308" s="50"/>
      <c r="J308" s="50"/>
      <c r="K308" s="50"/>
      <c r="L308" s="50"/>
      <c r="M308" s="50"/>
      <c r="N308" s="51"/>
      <c r="O308" s="31"/>
    </row>
    <row r="309" spans="2:15">
      <c r="B309" s="17">
        <v>185</v>
      </c>
      <c r="C309" s="18" t="s">
        <v>751</v>
      </c>
      <c r="D309" s="19" t="s">
        <v>752</v>
      </c>
      <c r="E309" s="19" t="s">
        <v>737</v>
      </c>
      <c r="F309" s="20">
        <v>3</v>
      </c>
      <c r="G309" s="21">
        <v>1</v>
      </c>
      <c r="H309" s="22">
        <f>F309 * G309 * 635.774152</f>
        <v>1907.3224559999999</v>
      </c>
      <c r="I309" s="22">
        <f>F309 * G309 * 1391.551504</f>
        <v>4174.6545120000001</v>
      </c>
      <c r="J309" s="22">
        <f>F309 * G309 * 8.67416</f>
        <v>26.022480000000002</v>
      </c>
      <c r="K309" s="22">
        <f>F309 * G309 * 605.256993</f>
        <v>1815.7709789999999</v>
      </c>
      <c r="L309" s="22">
        <f>F309 * G309 * 292.067428</f>
        <v>876.20228399999996</v>
      </c>
      <c r="M309" s="22">
        <f>F309 * G309 * 127.15483</f>
        <v>381.46449000000001</v>
      </c>
      <c r="N309" s="26">
        <f t="shared" ref="N309:N314" si="14">SUM(H309:M309)</f>
        <v>9181.4372009999988</v>
      </c>
      <c r="O309" s="30">
        <v>0.21002464088663186</v>
      </c>
    </row>
    <row r="310" spans="2:15">
      <c r="B310" s="17">
        <v>186</v>
      </c>
      <c r="C310" s="18" t="s">
        <v>753</v>
      </c>
      <c r="D310" s="19" t="s">
        <v>754</v>
      </c>
      <c r="E310" s="19" t="s">
        <v>740</v>
      </c>
      <c r="F310" s="20">
        <v>3</v>
      </c>
      <c r="G310" s="21">
        <v>1</v>
      </c>
      <c r="H310" s="22">
        <f>F310 * G310 * 922.897962</f>
        <v>2768.693886</v>
      </c>
      <c r="I310" s="22">
        <f>F310 * G310 * 666.831338</f>
        <v>2000.4940139999999</v>
      </c>
      <c r="J310" s="22">
        <f>F310 * G310 * 8.67416</f>
        <v>26.022480000000002</v>
      </c>
      <c r="K310" s="22">
        <f>F310 * G310 * 878.59886</f>
        <v>2635.7965799999997</v>
      </c>
      <c r="L310" s="22">
        <f>F310 * G310 * 280.796892</f>
        <v>842.39067599999998</v>
      </c>
      <c r="M310" s="22">
        <f>F310 * G310 * 184.579592</f>
        <v>553.73877599999992</v>
      </c>
      <c r="N310" s="26">
        <f t="shared" si="14"/>
        <v>8827.136411999998</v>
      </c>
      <c r="O310" s="30">
        <v>0.20192003870436448</v>
      </c>
    </row>
    <row r="311" spans="2:15">
      <c r="B311" s="17">
        <v>187</v>
      </c>
      <c r="C311" s="18" t="s">
        <v>755</v>
      </c>
      <c r="D311" s="19" t="s">
        <v>756</v>
      </c>
      <c r="E311" s="19" t="s">
        <v>740</v>
      </c>
      <c r="F311" s="20">
        <v>3</v>
      </c>
      <c r="G311" s="21">
        <v>1</v>
      </c>
      <c r="H311" s="22">
        <f>F311 * G311 * 578.34939</f>
        <v>1735.04817</v>
      </c>
      <c r="I311" s="22">
        <f>F311 * G311 * 377.06907</f>
        <v>1131.20721</v>
      </c>
      <c r="J311" s="22">
        <f>F311 * G311 * 0</f>
        <v>0</v>
      </c>
      <c r="K311" s="22">
        <f>F311 * G311 * 550.58862</f>
        <v>1651.76586</v>
      </c>
      <c r="L311" s="22">
        <f>F311 * G311 * 171.086919</f>
        <v>513.26075700000001</v>
      </c>
      <c r="M311" s="22">
        <f>F311 * G311 * 115.669878</f>
        <v>347.00963400000001</v>
      </c>
      <c r="N311" s="26">
        <f t="shared" si="14"/>
        <v>5378.2916310000001</v>
      </c>
      <c r="O311" s="30">
        <v>0.12302799046115838</v>
      </c>
    </row>
    <row r="312" spans="2:15">
      <c r="B312" s="17">
        <v>188</v>
      </c>
      <c r="C312" s="18" t="s">
        <v>757</v>
      </c>
      <c r="D312" s="19" t="s">
        <v>758</v>
      </c>
      <c r="E312" s="19" t="s">
        <v>745</v>
      </c>
      <c r="F312" s="20">
        <v>3</v>
      </c>
      <c r="G312" s="21">
        <v>1</v>
      </c>
      <c r="H312" s="22">
        <f>F312 * G312 * 430.685716</f>
        <v>1292.0571480000001</v>
      </c>
      <c r="I312" s="22">
        <f>F312 * G312 * 312.588741</f>
        <v>937.76622300000008</v>
      </c>
      <c r="J312" s="22">
        <f>F312 * G312 * 0</f>
        <v>0</v>
      </c>
      <c r="K312" s="22">
        <f>F312 * G312 * 410.012800999999</f>
        <v>1230.0384029999971</v>
      </c>
      <c r="L312" s="22">
        <f>F312 * G312 * 130.759274</f>
        <v>392.27782200000001</v>
      </c>
      <c r="M312" s="22">
        <f>F312 * G312 * 86.137143</f>
        <v>258.411429</v>
      </c>
      <c r="N312" s="26">
        <f t="shared" si="14"/>
        <v>4110.551024999997</v>
      </c>
      <c r="O312" s="30">
        <v>9.402852559703534E-2</v>
      </c>
    </row>
    <row r="313" spans="2:15" ht="25.5">
      <c r="B313" s="17">
        <v>189</v>
      </c>
      <c r="C313" s="18" t="s">
        <v>759</v>
      </c>
      <c r="D313" s="19" t="s">
        <v>760</v>
      </c>
      <c r="E313" s="19" t="s">
        <v>761</v>
      </c>
      <c r="F313" s="20">
        <v>3</v>
      </c>
      <c r="G313" s="21">
        <v>1</v>
      </c>
      <c r="H313" s="22">
        <f>F313 * G313 * 205.088436</f>
        <v>615.265308</v>
      </c>
      <c r="I313" s="22">
        <f>F313 * G313 * 2406.914785</f>
        <v>7220.7443549999998</v>
      </c>
      <c r="J313" s="22">
        <f>F313 * G313 * 3.15084</f>
        <v>9.4525199999999998</v>
      </c>
      <c r="K313" s="22">
        <f>F313 * G313 * 195.244191</f>
        <v>585.732573</v>
      </c>
      <c r="L313" s="22">
        <f>F313 * G313 * 300.824381999999</f>
        <v>902.47314599999697</v>
      </c>
      <c r="M313" s="22">
        <f>F313 * G313 * 41.017687</f>
        <v>123.05306100000001</v>
      </c>
      <c r="N313" s="26">
        <f t="shared" si="14"/>
        <v>9456.7209629999961</v>
      </c>
      <c r="O313" s="30">
        <v>0.21632173490255277</v>
      </c>
    </row>
    <row r="314" spans="2:15">
      <c r="B314" s="17">
        <v>190</v>
      </c>
      <c r="C314" s="18" t="s">
        <v>762</v>
      </c>
      <c r="D314" s="19" t="s">
        <v>763</v>
      </c>
      <c r="E314" s="19" t="s">
        <v>745</v>
      </c>
      <c r="F314" s="20">
        <v>3</v>
      </c>
      <c r="G314" s="21">
        <v>1</v>
      </c>
      <c r="H314" s="22">
        <f>F314 * G314 * 21.124109</f>
        <v>63.372326999999999</v>
      </c>
      <c r="I314" s="22">
        <f>F314 * G314 * 934.95778</f>
        <v>2804.8733400000001</v>
      </c>
      <c r="J314" s="22">
        <f>F314 * G314 * 0</f>
        <v>0</v>
      </c>
      <c r="K314" s="22">
        <f>F314 * G314 * 20.110152</f>
        <v>60.330455999999998</v>
      </c>
      <c r="L314" s="22">
        <f>F314 * G314 * 103.433979</f>
        <v>310.30193699999995</v>
      </c>
      <c r="M314" s="22">
        <f>F314 * G314 * 4.224822</f>
        <v>12.674465999999999</v>
      </c>
      <c r="N314" s="26">
        <f t="shared" si="14"/>
        <v>3251.5525259999999</v>
      </c>
      <c r="O314" s="30">
        <v>7.4379003705737037E-2</v>
      </c>
    </row>
    <row r="315" spans="2:15" s="14" customFormat="1" ht="12.75">
      <c r="B315" s="15"/>
      <c r="C315" s="16" t="s">
        <v>764</v>
      </c>
      <c r="D315" s="48" t="s">
        <v>765</v>
      </c>
      <c r="E315" s="48"/>
      <c r="F315" s="48"/>
      <c r="G315" s="48"/>
      <c r="H315" s="48"/>
      <c r="I315" s="48"/>
      <c r="J315" s="48"/>
      <c r="K315" s="48"/>
      <c r="L315" s="48"/>
      <c r="M315" s="48"/>
      <c r="N315" s="49"/>
      <c r="O315" s="29"/>
    </row>
    <row r="316" spans="2:15" ht="38.25">
      <c r="B316" s="17">
        <v>191</v>
      </c>
      <c r="C316" s="18" t="s">
        <v>766</v>
      </c>
      <c r="D316" s="19" t="s">
        <v>767</v>
      </c>
      <c r="E316" s="19" t="s">
        <v>768</v>
      </c>
      <c r="F316" s="20">
        <v>9.6000000000000002E-2</v>
      </c>
      <c r="G316" s="21">
        <v>4</v>
      </c>
      <c r="H316" s="22">
        <f>F316 * G316 * 5041.206072</f>
        <v>1935.8231316480001</v>
      </c>
      <c r="I316" s="22">
        <f>F316 * G316 * 0</f>
        <v>0</v>
      </c>
      <c r="J316" s="22">
        <f>F316 * G316 * 0</f>
        <v>0</v>
      </c>
      <c r="K316" s="22">
        <f>F316 * G316 * 4799.228181</f>
        <v>1842.9036215040003</v>
      </c>
      <c r="L316" s="22">
        <f>F316 * G316 * 1144.535261</f>
        <v>439.501540224</v>
      </c>
      <c r="M316" s="22">
        <f>F316 * G316 * 1008.241214</f>
        <v>387.16462617600001</v>
      </c>
      <c r="N316" s="26">
        <f>SUM(H316:M316)</f>
        <v>4605.3929195519995</v>
      </c>
      <c r="O316" s="30">
        <v>0.10534799431677189</v>
      </c>
    </row>
    <row r="317" spans="2:15" s="14" customFormat="1" ht="12.75">
      <c r="B317" s="15"/>
      <c r="C317" s="16" t="s">
        <v>769</v>
      </c>
      <c r="D317" s="48" t="s">
        <v>770</v>
      </c>
      <c r="E317" s="48"/>
      <c r="F317" s="48"/>
      <c r="G317" s="48"/>
      <c r="H317" s="48"/>
      <c r="I317" s="48"/>
      <c r="J317" s="48"/>
      <c r="K317" s="48"/>
      <c r="L317" s="48"/>
      <c r="M317" s="48"/>
      <c r="N317" s="49"/>
      <c r="O317" s="29"/>
    </row>
    <row r="318" spans="2:15" ht="38.25">
      <c r="B318" s="17">
        <v>192</v>
      </c>
      <c r="C318" s="18" t="s">
        <v>771</v>
      </c>
      <c r="D318" s="19" t="s">
        <v>772</v>
      </c>
      <c r="E318" s="19" t="s">
        <v>768</v>
      </c>
      <c r="F318" s="20">
        <v>9.6000000000000002E-2</v>
      </c>
      <c r="G318" s="21">
        <v>4</v>
      </c>
      <c r="H318" s="22">
        <f>F318 * G318 * 22366.925928</f>
        <v>8588.8995563520002</v>
      </c>
      <c r="I318" s="22">
        <f>F318 * G318 * 0</f>
        <v>0</v>
      </c>
      <c r="J318" s="22">
        <f>F318 * G318 * 0</f>
        <v>0</v>
      </c>
      <c r="K318" s="22">
        <f>F318 * G318 * 21293.3134829999</f>
        <v>8176.6323774719613</v>
      </c>
      <c r="L318" s="22">
        <f>F318 * G318 * 5078.097395</f>
        <v>1949.9893996799999</v>
      </c>
      <c r="M318" s="22">
        <f>F318 * G318 * 4473.385186</f>
        <v>1717.7799114240001</v>
      </c>
      <c r="N318" s="26">
        <f>SUM(H318:M318)</f>
        <v>20433.301244927959</v>
      </c>
      <c r="O318" s="30">
        <v>0.46741013004227194</v>
      </c>
    </row>
    <row r="319" spans="2:15" s="14" customFormat="1" ht="12.75">
      <c r="B319" s="15"/>
      <c r="C319" s="16" t="s">
        <v>773</v>
      </c>
      <c r="D319" s="48" t="s">
        <v>774</v>
      </c>
      <c r="E319" s="48"/>
      <c r="F319" s="48"/>
      <c r="G319" s="48"/>
      <c r="H319" s="48"/>
      <c r="I319" s="48"/>
      <c r="J319" s="48"/>
      <c r="K319" s="48"/>
      <c r="L319" s="48"/>
      <c r="M319" s="48"/>
      <c r="N319" s="49"/>
      <c r="O319" s="29"/>
    </row>
    <row r="320" spans="2:15" ht="38.25">
      <c r="B320" s="17">
        <v>193</v>
      </c>
      <c r="C320" s="18" t="s">
        <v>775</v>
      </c>
      <c r="D320" s="19" t="s">
        <v>776</v>
      </c>
      <c r="E320" s="19" t="s">
        <v>768</v>
      </c>
      <c r="F320" s="20">
        <v>9.6000000000000002E-2</v>
      </c>
      <c r="G320" s="21">
        <v>1</v>
      </c>
      <c r="H320" s="22">
        <f>F320 * G320 * 141136.758072</f>
        <v>13549.128774912</v>
      </c>
      <c r="I320" s="22">
        <f>F320 * G320 * 0</f>
        <v>0</v>
      </c>
      <c r="J320" s="22">
        <f>F320 * G320 * 0</f>
        <v>0</v>
      </c>
      <c r="K320" s="22">
        <f>F320 * G320 * 134362.193685</f>
        <v>12898.77059376</v>
      </c>
      <c r="L320" s="22">
        <f>F320 * G320 * 32043.125006</f>
        <v>3076.1400005759997</v>
      </c>
      <c r="M320" s="22">
        <f>F320 * G320 * 28227.351614</f>
        <v>2709.825754944</v>
      </c>
      <c r="N320" s="26">
        <f>SUM(H320:M320)</f>
        <v>32233.865124191998</v>
      </c>
      <c r="O320" s="30">
        <v>0.73734708400109794</v>
      </c>
    </row>
    <row r="321" spans="2:15">
      <c r="B321" s="17">
        <v>194</v>
      </c>
      <c r="C321" s="18" t="s">
        <v>777</v>
      </c>
      <c r="D321" s="19" t="s">
        <v>778</v>
      </c>
      <c r="E321" s="19" t="s">
        <v>101</v>
      </c>
      <c r="F321" s="20">
        <v>0.96599999999999997</v>
      </c>
      <c r="G321" s="21">
        <v>26</v>
      </c>
      <c r="H321" s="22">
        <f>F321 * G321 * 47.2554</f>
        <v>1186.8666264000001</v>
      </c>
      <c r="I321" s="22">
        <f>F321 * G321 * 82.29888</f>
        <v>2067.01867008</v>
      </c>
      <c r="J321" s="22">
        <f>F321 * G321 * 0</f>
        <v>0</v>
      </c>
      <c r="K321" s="22">
        <f>F321 * G321 * 44.987141</f>
        <v>1129.8970333560001</v>
      </c>
      <c r="L321" s="22">
        <f>F321 * G321 * 19.411209</f>
        <v>487.53192524399998</v>
      </c>
      <c r="M321" s="22">
        <f>F321 * G321 * 9.45108</f>
        <v>237.37332527999999</v>
      </c>
      <c r="N321" s="26">
        <f>SUM(H321:M321)</f>
        <v>5108.6875803600005</v>
      </c>
      <c r="O321" s="30">
        <v>0.11686081938786715</v>
      </c>
    </row>
    <row r="322" spans="2:15" ht="25.5">
      <c r="B322" s="17">
        <v>195</v>
      </c>
      <c r="C322" s="18" t="s">
        <v>779</v>
      </c>
      <c r="D322" s="19" t="s">
        <v>780</v>
      </c>
      <c r="E322" s="19" t="s">
        <v>781</v>
      </c>
      <c r="F322" s="20">
        <v>3</v>
      </c>
      <c r="G322" s="21">
        <v>1</v>
      </c>
      <c r="H322" s="22">
        <f>F322 * G322 * 200.362896</f>
        <v>601.08868800000005</v>
      </c>
      <c r="I322" s="22">
        <f>F322 * G322 * 0</f>
        <v>0</v>
      </c>
      <c r="J322" s="22">
        <f>F322 * G322 * 0</f>
        <v>0</v>
      </c>
      <c r="K322" s="22">
        <f>F322 * G322 * 190.745477</f>
        <v>572.23643100000004</v>
      </c>
      <c r="L322" s="22">
        <f>F322 * G322 * 45.489591</f>
        <v>136.468773</v>
      </c>
      <c r="M322" s="22">
        <f>F322 * G322 * 40.072579</f>
        <v>120.217737</v>
      </c>
      <c r="N322" s="26">
        <f>SUM(H322:M322)</f>
        <v>1430.0116290000001</v>
      </c>
      <c r="O322" s="30">
        <v>3.2711401523469671E-2</v>
      </c>
    </row>
    <row r="323" spans="2:15">
      <c r="B323" s="17">
        <v>196</v>
      </c>
      <c r="C323" s="18" t="s">
        <v>782</v>
      </c>
      <c r="D323" s="19" t="s">
        <v>783</v>
      </c>
      <c r="E323" s="19" t="s">
        <v>784</v>
      </c>
      <c r="F323" s="20">
        <v>6</v>
      </c>
      <c r="G323" s="21">
        <v>2</v>
      </c>
      <c r="H323" s="22">
        <f>F323 * G323 * 19.280203</f>
        <v>231.362436</v>
      </c>
      <c r="I323" s="22">
        <f>F323 * G323 * 0</f>
        <v>0</v>
      </c>
      <c r="J323" s="22">
        <f>F323 * G323 * 0</f>
        <v>0</v>
      </c>
      <c r="K323" s="22">
        <f>F323 * G323 * 18.354753</f>
        <v>220.25703599999997</v>
      </c>
      <c r="L323" s="22">
        <f>F323 * G323 * 4.3773</f>
        <v>52.5276</v>
      </c>
      <c r="M323" s="22">
        <f>F323 * G323 * 3.856041</f>
        <v>46.272492</v>
      </c>
      <c r="N323" s="26">
        <f>SUM(H323:M323)</f>
        <v>550.41956400000004</v>
      </c>
      <c r="O323" s="30">
        <v>1.2590803458687896E-2</v>
      </c>
    </row>
    <row r="324" spans="2:15" s="14" customFormat="1" ht="12.75">
      <c r="B324" s="15"/>
      <c r="C324" s="16" t="s">
        <v>785</v>
      </c>
      <c r="D324" s="48" t="s">
        <v>786</v>
      </c>
      <c r="E324" s="48"/>
      <c r="F324" s="48"/>
      <c r="G324" s="48"/>
      <c r="H324" s="48"/>
      <c r="I324" s="48"/>
      <c r="J324" s="48"/>
      <c r="K324" s="48"/>
      <c r="L324" s="48"/>
      <c r="M324" s="48"/>
      <c r="N324" s="49"/>
      <c r="O324" s="29"/>
    </row>
    <row r="325" spans="2:15" ht="25.5">
      <c r="B325" s="17">
        <v>197</v>
      </c>
      <c r="C325" s="18" t="s">
        <v>787</v>
      </c>
      <c r="D325" s="19" t="s">
        <v>788</v>
      </c>
      <c r="E325" s="19" t="s">
        <v>789</v>
      </c>
      <c r="F325" s="20">
        <v>1.6800000000000002</v>
      </c>
      <c r="G325" s="21">
        <v>2</v>
      </c>
      <c r="H325" s="22">
        <f>F325 * G325 * 737.18424</f>
        <v>2476.9390464000003</v>
      </c>
      <c r="I325" s="22">
        <f>F325 * G325 * 0</f>
        <v>0</v>
      </c>
      <c r="J325" s="22">
        <f>F325 * G325 * 0</f>
        <v>0</v>
      </c>
      <c r="K325" s="22">
        <f>F325 * G325 * 701.799396</f>
        <v>2358.0459705600001</v>
      </c>
      <c r="L325" s="22">
        <f>F325 * G325 * 167.367361</f>
        <v>562.35433295999997</v>
      </c>
      <c r="M325" s="22">
        <f>F325 * G325 * 147.436848</f>
        <v>495.38780928000006</v>
      </c>
      <c r="N325" s="26">
        <f>SUM(H325:M325)</f>
        <v>5892.7271591999997</v>
      </c>
      <c r="O325" s="30">
        <v>0.13479566198188306</v>
      </c>
    </row>
    <row r="326" spans="2:15">
      <c r="B326" s="17">
        <v>198</v>
      </c>
      <c r="C326" s="18" t="s">
        <v>790</v>
      </c>
      <c r="D326" s="19" t="s">
        <v>791</v>
      </c>
      <c r="E326" s="19" t="s">
        <v>792</v>
      </c>
      <c r="F326" s="20">
        <v>16.8</v>
      </c>
      <c r="G326" s="21">
        <v>1</v>
      </c>
      <c r="H326" s="22">
        <f>F326 * G326 * 226.82592</f>
        <v>3810.6754559999999</v>
      </c>
      <c r="I326" s="22">
        <f>F326 * G326 * 0</f>
        <v>0</v>
      </c>
      <c r="J326" s="22">
        <f>F326 * G326 * 0</f>
        <v>0</v>
      </c>
      <c r="K326" s="22">
        <f>F326 * G326 * 215.938276</f>
        <v>3627.7630368</v>
      </c>
      <c r="L326" s="22">
        <f>F326 * G326 * 51.49765</f>
        <v>865.16052000000002</v>
      </c>
      <c r="M326" s="22">
        <f>F326 * G326 * 45.365184</f>
        <v>762.13509120000003</v>
      </c>
      <c r="N326" s="26">
        <f>SUM(H326:M326)</f>
        <v>9065.7341039999992</v>
      </c>
      <c r="O326" s="30">
        <v>0.20737794180620364</v>
      </c>
    </row>
    <row r="327" spans="2:15" s="14" customFormat="1" ht="12.75">
      <c r="B327" s="15"/>
      <c r="C327" s="16" t="s">
        <v>793</v>
      </c>
      <c r="D327" s="48" t="s">
        <v>794</v>
      </c>
      <c r="E327" s="48"/>
      <c r="F327" s="48"/>
      <c r="G327" s="48"/>
      <c r="H327" s="48"/>
      <c r="I327" s="48"/>
      <c r="J327" s="48"/>
      <c r="K327" s="48"/>
      <c r="L327" s="48"/>
      <c r="M327" s="48"/>
      <c r="N327" s="49"/>
      <c r="O327" s="29"/>
    </row>
    <row r="328" spans="2:15" ht="25.5">
      <c r="B328" s="17">
        <v>199</v>
      </c>
      <c r="C328" s="18" t="s">
        <v>795</v>
      </c>
      <c r="D328" s="19" t="s">
        <v>796</v>
      </c>
      <c r="E328" s="19" t="s">
        <v>797</v>
      </c>
      <c r="F328" s="20">
        <v>0.96599999999999997</v>
      </c>
      <c r="G328" s="21">
        <v>2</v>
      </c>
      <c r="H328" s="22">
        <f>F328 * G328 * 0</f>
        <v>0</v>
      </c>
      <c r="I328" s="22">
        <f>F328 * G328 * 0</f>
        <v>0</v>
      </c>
      <c r="J328" s="22">
        <f>F328 * G328 * 100.65264</f>
        <v>194.46090047999999</v>
      </c>
      <c r="K328" s="22">
        <f>F328 * G328 * 43.408555</f>
        <v>83.865328259999998</v>
      </c>
      <c r="L328" s="22">
        <f>F328 * G328 * 16.160557</f>
        <v>31.222196124</v>
      </c>
      <c r="M328" s="22">
        <f>F328 * G328 * 9.119444</f>
        <v>17.618765807999999</v>
      </c>
      <c r="N328" s="26">
        <f t="shared" ref="N328:N338" si="15">SUM(H328:M328)</f>
        <v>327.16719067199995</v>
      </c>
      <c r="O328" s="30">
        <v>7.4839232928904731E-3</v>
      </c>
    </row>
    <row r="329" spans="2:15" ht="25.5">
      <c r="B329" s="17">
        <v>200</v>
      </c>
      <c r="C329" s="18" t="s">
        <v>798</v>
      </c>
      <c r="D329" s="19" t="s">
        <v>799</v>
      </c>
      <c r="E329" s="19" t="s">
        <v>800</v>
      </c>
      <c r="F329" s="20">
        <v>193.2</v>
      </c>
      <c r="G329" s="21">
        <v>1</v>
      </c>
      <c r="H329" s="22">
        <f>F329 * G329 * 47.2554</f>
        <v>9129.7432800000006</v>
      </c>
      <c r="I329" s="22">
        <f>F329 * G329 * 0</f>
        <v>0</v>
      </c>
      <c r="J329" s="22">
        <f>F329 * G329 * 0</f>
        <v>0</v>
      </c>
      <c r="K329" s="22">
        <f>F329 * G329 * 44.987141</f>
        <v>8691.5156411999997</v>
      </c>
      <c r="L329" s="22">
        <f>F329 * G329 * 10.728677</f>
        <v>2072.7803964</v>
      </c>
      <c r="M329" s="22">
        <f>F329 * G329 * 9.45108</f>
        <v>1825.9486559999998</v>
      </c>
      <c r="N329" s="26">
        <f t="shared" si="15"/>
        <v>21719.987973600004</v>
      </c>
      <c r="O329" s="30">
        <v>0.4968429859456493</v>
      </c>
    </row>
    <row r="330" spans="2:15">
      <c r="B330" s="17">
        <v>201</v>
      </c>
      <c r="C330" s="18" t="s">
        <v>801</v>
      </c>
      <c r="D330" s="19" t="s">
        <v>802</v>
      </c>
      <c r="E330" s="19" t="s">
        <v>803</v>
      </c>
      <c r="F330" s="20">
        <v>86.94</v>
      </c>
      <c r="G330" s="21">
        <v>1</v>
      </c>
      <c r="H330" s="22">
        <f>F330 * G330 * 0</f>
        <v>0</v>
      </c>
      <c r="I330" s="22">
        <f>F330 * G330 * 0</f>
        <v>0</v>
      </c>
      <c r="J330" s="22">
        <f>F330 * G330 * 6.100631</f>
        <v>530.38885914000002</v>
      </c>
      <c r="K330" s="22">
        <f>F330 * G330 * 2.022733</f>
        <v>175.85640702000001</v>
      </c>
      <c r="L330" s="22">
        <f>F330 * G330 * 0.901847</f>
        <v>78.406578179999997</v>
      </c>
      <c r="M330" s="22">
        <f>F330 * G330 * 0.424944</f>
        <v>36.944631359999995</v>
      </c>
      <c r="N330" s="26">
        <f t="shared" si="15"/>
        <v>821.59647570000004</v>
      </c>
      <c r="O330" s="30">
        <v>1.8793953602799892E-2</v>
      </c>
    </row>
    <row r="331" spans="2:15" ht="25.5">
      <c r="B331" s="17">
        <v>202</v>
      </c>
      <c r="C331" s="18" t="s">
        <v>804</v>
      </c>
      <c r="D331" s="19" t="s">
        <v>805</v>
      </c>
      <c r="E331" s="19" t="s">
        <v>104</v>
      </c>
      <c r="F331" s="20">
        <v>0.24</v>
      </c>
      <c r="G331" s="21">
        <v>123.5</v>
      </c>
      <c r="H331" s="22">
        <f>F331 * G331 * 260.849808</f>
        <v>7731.5883091200003</v>
      </c>
      <c r="I331" s="22">
        <f>F331 * G331 * 0</f>
        <v>0</v>
      </c>
      <c r="J331" s="22">
        <f t="shared" ref="J331:J338" si="16">F331 * G331 * 0</f>
        <v>0</v>
      </c>
      <c r="K331" s="22">
        <f>F331 * G331 * 248.329017</f>
        <v>7360.47206388</v>
      </c>
      <c r="L331" s="22">
        <f>F331 * G331 * 59.222297</f>
        <v>1755.34888308</v>
      </c>
      <c r="M331" s="22">
        <f>F331 * G331 * 52.169962</f>
        <v>1546.3176736799999</v>
      </c>
      <c r="N331" s="26">
        <f t="shared" si="15"/>
        <v>18393.726929760003</v>
      </c>
      <c r="O331" s="30">
        <v>0.42075503087565203</v>
      </c>
    </row>
    <row r="332" spans="2:15" ht="25.5">
      <c r="B332" s="17">
        <v>203</v>
      </c>
      <c r="C332" s="18" t="s">
        <v>806</v>
      </c>
      <c r="D332" s="19" t="s">
        <v>807</v>
      </c>
      <c r="E332" s="19" t="s">
        <v>104</v>
      </c>
      <c r="F332" s="20">
        <v>0.24</v>
      </c>
      <c r="G332" s="21">
        <v>123.5</v>
      </c>
      <c r="H332" s="22">
        <f>F332 * G332 * 48.200508</f>
        <v>1428.6630571200001</v>
      </c>
      <c r="I332" s="22">
        <f>F332 * G332 * 0.284166</f>
        <v>8.42268024</v>
      </c>
      <c r="J332" s="22">
        <f t="shared" si="16"/>
        <v>0</v>
      </c>
      <c r="K332" s="22">
        <f>F332 * G332 * 45.886883</f>
        <v>1360.08721212</v>
      </c>
      <c r="L332" s="22">
        <f>F332 * G332 * 10.97323</f>
        <v>325.24653719999998</v>
      </c>
      <c r="M332" s="22">
        <f>F332 * G332 * 9.640102</f>
        <v>285.73262328000004</v>
      </c>
      <c r="N332" s="26">
        <f t="shared" si="15"/>
        <v>3408.1521099600004</v>
      </c>
      <c r="O332" s="30">
        <v>7.7961206651111739E-2</v>
      </c>
    </row>
    <row r="333" spans="2:15" ht="25.5">
      <c r="B333" s="17">
        <v>204</v>
      </c>
      <c r="C333" s="18" t="s">
        <v>808</v>
      </c>
      <c r="D333" s="19" t="s">
        <v>809</v>
      </c>
      <c r="E333" s="19" t="s">
        <v>810</v>
      </c>
      <c r="F333" s="20">
        <v>6</v>
      </c>
      <c r="G333" s="21">
        <v>26</v>
      </c>
      <c r="H333" s="22">
        <f>F333 * G333 * 98.858297</f>
        <v>15421.894332</v>
      </c>
      <c r="I333" s="22">
        <f>F333 * G333 * 0.495187</f>
        <v>77.249172000000002</v>
      </c>
      <c r="J333" s="22">
        <f t="shared" si="16"/>
        <v>0</v>
      </c>
      <c r="K333" s="22">
        <f>F333 * G333 * 94.1130989999999</f>
        <v>14681.643443999985</v>
      </c>
      <c r="L333" s="22">
        <f>F333 * G333 * 22.496634</f>
        <v>3509.4749040000002</v>
      </c>
      <c r="M333" s="22">
        <f>F333 * G333 * 19.771659</f>
        <v>3084.3788039999999</v>
      </c>
      <c r="N333" s="26">
        <f t="shared" si="15"/>
        <v>36774.640655999989</v>
      </c>
      <c r="O333" s="30">
        <v>0.8412169607466371</v>
      </c>
    </row>
    <row r="334" spans="2:15">
      <c r="B334" s="17">
        <v>205</v>
      </c>
      <c r="C334" s="18" t="s">
        <v>811</v>
      </c>
      <c r="D334" s="19" t="s">
        <v>812</v>
      </c>
      <c r="E334" s="19" t="s">
        <v>104</v>
      </c>
      <c r="F334" s="20">
        <v>0.24</v>
      </c>
      <c r="G334" s="21">
        <v>52</v>
      </c>
      <c r="H334" s="22">
        <f>F334 * G334 * 1134.1296</f>
        <v>14153.937408</v>
      </c>
      <c r="I334" s="22">
        <f>F334 * G334 * 0</f>
        <v>0</v>
      </c>
      <c r="J334" s="22">
        <f t="shared" si="16"/>
        <v>0</v>
      </c>
      <c r="K334" s="22">
        <f>F334 * G334 * 1079.691379</f>
        <v>13474.548409920002</v>
      </c>
      <c r="L334" s="22">
        <f>F334 * G334 * 257.488247</f>
        <v>3213.4533225600003</v>
      </c>
      <c r="M334" s="22">
        <f>F334 * G334 * 226.82592</f>
        <v>2830.7874815999999</v>
      </c>
      <c r="N334" s="26">
        <f t="shared" si="15"/>
        <v>33672.726622080001</v>
      </c>
      <c r="O334" s="30">
        <v>0.77026092556684056</v>
      </c>
    </row>
    <row r="335" spans="2:15">
      <c r="B335" s="17">
        <v>206</v>
      </c>
      <c r="C335" s="18" t="s">
        <v>813</v>
      </c>
      <c r="D335" s="19" t="s">
        <v>814</v>
      </c>
      <c r="E335" s="19" t="s">
        <v>717</v>
      </c>
      <c r="F335" s="20">
        <v>0.24</v>
      </c>
      <c r="G335" s="21">
        <v>123.5</v>
      </c>
      <c r="H335" s="22">
        <f>F335 * G335 * 459.322488</f>
        <v>13614.31854432</v>
      </c>
      <c r="I335" s="22">
        <f>F335 * G335 * 2.720736</f>
        <v>80.64261504000001</v>
      </c>
      <c r="J335" s="22">
        <f t="shared" si="16"/>
        <v>0</v>
      </c>
      <c r="K335" s="22">
        <f>F335 * G335 * 437.275008</f>
        <v>12960.831237120001</v>
      </c>
      <c r="L335" s="22">
        <f>F335 * G335 * 104.569778</f>
        <v>3099.4482199200002</v>
      </c>
      <c r="M335" s="22">
        <f>F335 * G335 * 91.864498</f>
        <v>2722.8637207199999</v>
      </c>
      <c r="N335" s="26">
        <f t="shared" si="15"/>
        <v>32478.104337119999</v>
      </c>
      <c r="O335" s="30">
        <v>0.74293403644249245</v>
      </c>
    </row>
    <row r="336" spans="2:15">
      <c r="B336" s="17">
        <v>207</v>
      </c>
      <c r="C336" s="18" t="s">
        <v>815</v>
      </c>
      <c r="D336" s="19" t="s">
        <v>816</v>
      </c>
      <c r="E336" s="19" t="s">
        <v>817</v>
      </c>
      <c r="F336" s="20">
        <v>1.4999999999999999E-2</v>
      </c>
      <c r="G336" s="21">
        <v>52</v>
      </c>
      <c r="H336" s="22">
        <f>F336 * G336 * 14743.6848</f>
        <v>11500.074144000002</v>
      </c>
      <c r="I336" s="22">
        <f>F336 * G336 * 0</f>
        <v>0</v>
      </c>
      <c r="J336" s="22">
        <f t="shared" si="16"/>
        <v>0</v>
      </c>
      <c r="K336" s="22">
        <f>F336 * G336 * 14035.98793</f>
        <v>10948.070585400001</v>
      </c>
      <c r="L336" s="22">
        <f>F336 * G336 * 3347.347222</f>
        <v>2610.93083316</v>
      </c>
      <c r="M336" s="22">
        <f>F336 * G336 * 2948.73696</f>
        <v>2300.0148288</v>
      </c>
      <c r="N336" s="26">
        <f t="shared" si="15"/>
        <v>27359.090391360005</v>
      </c>
      <c r="O336" s="30">
        <v>0.62583700227285222</v>
      </c>
    </row>
    <row r="337" spans="2:15">
      <c r="B337" s="17">
        <v>208</v>
      </c>
      <c r="C337" s="18" t="s">
        <v>818</v>
      </c>
      <c r="D337" s="19" t="s">
        <v>819</v>
      </c>
      <c r="E337" s="19" t="s">
        <v>820</v>
      </c>
      <c r="F337" s="20">
        <v>6</v>
      </c>
      <c r="G337" s="21">
        <v>1</v>
      </c>
      <c r="H337" s="22">
        <f>F337 * G337 * 58.286701</f>
        <v>349.72020600000002</v>
      </c>
      <c r="I337" s="22">
        <f>F337 * G337 * 0</f>
        <v>0</v>
      </c>
      <c r="J337" s="22">
        <f t="shared" si="16"/>
        <v>0</v>
      </c>
      <c r="K337" s="22">
        <f>F337 * G337 * 55.48894</f>
        <v>332.93363999999997</v>
      </c>
      <c r="L337" s="22">
        <f>F337 * G337 * 13.2331799999999</f>
        <v>79.399079999999401</v>
      </c>
      <c r="M337" s="22">
        <f>F337 * G337 * 11.65734</f>
        <v>69.944040000000001</v>
      </c>
      <c r="N337" s="26">
        <f t="shared" si="15"/>
        <v>831.99696599999936</v>
      </c>
      <c r="O337" s="30">
        <v>1.9031863985726035E-2</v>
      </c>
    </row>
    <row r="338" spans="2:15">
      <c r="B338" s="17">
        <v>209</v>
      </c>
      <c r="C338" s="18" t="s">
        <v>821</v>
      </c>
      <c r="D338" s="19" t="s">
        <v>822</v>
      </c>
      <c r="E338" s="19" t="s">
        <v>800</v>
      </c>
      <c r="F338" s="20">
        <v>6</v>
      </c>
      <c r="G338" s="21">
        <v>1</v>
      </c>
      <c r="H338" s="22">
        <f>F338 * G338 * 75.60864</f>
        <v>453.65183999999999</v>
      </c>
      <c r="I338" s="22">
        <f>F338 * G338 * 0</f>
        <v>0</v>
      </c>
      <c r="J338" s="22">
        <f t="shared" si="16"/>
        <v>0</v>
      </c>
      <c r="K338" s="22">
        <f>F338 * G338 * 71.9794249999999</f>
        <v>431.87654999999944</v>
      </c>
      <c r="L338" s="22">
        <f>F338 * G338 * 17.1658829999999</f>
        <v>102.99529799999941</v>
      </c>
      <c r="M338" s="22">
        <f>F338 * G338 * 15.121728</f>
        <v>90.730367999999999</v>
      </c>
      <c r="N338" s="26">
        <f t="shared" si="15"/>
        <v>1079.2540559999989</v>
      </c>
      <c r="O338" s="30">
        <v>2.4687850123524539E-2</v>
      </c>
    </row>
    <row r="339" spans="2:15" s="11" customFormat="1" ht="15">
      <c r="B339" s="12"/>
      <c r="C339" s="13" t="s">
        <v>823</v>
      </c>
      <c r="D339" s="46" t="s">
        <v>824</v>
      </c>
      <c r="E339" s="46"/>
      <c r="F339" s="46"/>
      <c r="G339" s="46"/>
      <c r="H339" s="46"/>
      <c r="I339" s="46"/>
      <c r="J339" s="46"/>
      <c r="K339" s="46"/>
      <c r="L339" s="46"/>
      <c r="M339" s="46"/>
      <c r="N339" s="47"/>
      <c r="O339" s="28"/>
    </row>
    <row r="340" spans="2:15" s="14" customFormat="1" ht="12.75">
      <c r="B340" s="15"/>
      <c r="C340" s="16" t="s">
        <v>825</v>
      </c>
      <c r="D340" s="48" t="s">
        <v>826</v>
      </c>
      <c r="E340" s="48"/>
      <c r="F340" s="48"/>
      <c r="G340" s="48"/>
      <c r="H340" s="48"/>
      <c r="I340" s="48"/>
      <c r="J340" s="48"/>
      <c r="K340" s="48"/>
      <c r="L340" s="48"/>
      <c r="M340" s="48"/>
      <c r="N340" s="49"/>
      <c r="O340" s="29"/>
    </row>
    <row r="341" spans="2:15">
      <c r="B341" s="17">
        <v>210</v>
      </c>
      <c r="C341" s="18" t="s">
        <v>827</v>
      </c>
      <c r="D341" s="19" t="s">
        <v>828</v>
      </c>
      <c r="E341" s="19" t="s">
        <v>829</v>
      </c>
      <c r="F341" s="20">
        <v>0.06</v>
      </c>
      <c r="G341" s="21">
        <v>1</v>
      </c>
      <c r="H341" s="22">
        <f>F341 * G341 * 21867.071538</f>
        <v>1312.0242922800001</v>
      </c>
      <c r="I341" s="22">
        <f>F341 * G341 * 79889.229706</f>
        <v>4793.35378236</v>
      </c>
      <c r="J341" s="22">
        <f>F341 * G341 * 9290.6462</f>
        <v>557.43877199999997</v>
      </c>
      <c r="K341" s="22">
        <f>F341 * G341 * 23532.655228</f>
        <v>1411.9593136799999</v>
      </c>
      <c r="L341" s="22">
        <f>F341 * G341 * 14719.722688</f>
        <v>883.18336127999999</v>
      </c>
      <c r="M341" s="22">
        <f>F341 * G341 * 4943.835132</f>
        <v>296.63010792</v>
      </c>
      <c r="N341" s="26">
        <f>SUM(H341:M341)</f>
        <v>9254.58962952</v>
      </c>
      <c r="O341" s="30">
        <v>0.21169799683228108</v>
      </c>
    </row>
    <row r="342" spans="2:15">
      <c r="B342" s="17">
        <v>211</v>
      </c>
      <c r="C342" s="18" t="s">
        <v>830</v>
      </c>
      <c r="D342" s="19" t="s">
        <v>831</v>
      </c>
      <c r="E342" s="19" t="s">
        <v>832</v>
      </c>
      <c r="F342" s="20">
        <v>0.65</v>
      </c>
      <c r="G342" s="21">
        <v>1</v>
      </c>
      <c r="H342" s="22">
        <f>F342 * G342 * 2425.063958</f>
        <v>1576.2915727000002</v>
      </c>
      <c r="I342" s="22">
        <f>F342 * G342 * 9099.73286</f>
        <v>5914.8263590000006</v>
      </c>
      <c r="J342" s="22">
        <f>F342 * G342 * 413.769664</f>
        <v>268.95028159999998</v>
      </c>
      <c r="K342" s="22">
        <f>F342 * G342 * 2529.649898</f>
        <v>1644.2724337000002</v>
      </c>
      <c r="L342" s="22">
        <f>F342 * G342 * 1582.463648</f>
        <v>1028.6013711999999</v>
      </c>
      <c r="M342" s="22">
        <f>F342 * G342 * 531.439054</f>
        <v>345.43538510000008</v>
      </c>
      <c r="N342" s="26">
        <f>SUM(H342:M342)</f>
        <v>10778.377403300001</v>
      </c>
      <c r="O342" s="30">
        <v>0.24655452015966695</v>
      </c>
    </row>
    <row r="343" spans="2:15" s="14" customFormat="1" ht="12.75">
      <c r="B343" s="15"/>
      <c r="C343" s="16" t="s">
        <v>833</v>
      </c>
      <c r="D343" s="48" t="s">
        <v>834</v>
      </c>
      <c r="E343" s="48"/>
      <c r="F343" s="48"/>
      <c r="G343" s="48"/>
      <c r="H343" s="48"/>
      <c r="I343" s="48"/>
      <c r="J343" s="48"/>
      <c r="K343" s="48"/>
      <c r="L343" s="48"/>
      <c r="M343" s="48"/>
      <c r="N343" s="49"/>
      <c r="O343" s="29"/>
    </row>
    <row r="344" spans="2:15">
      <c r="B344" s="17">
        <v>212</v>
      </c>
      <c r="C344" s="18" t="s">
        <v>835</v>
      </c>
      <c r="D344" s="19" t="s">
        <v>836</v>
      </c>
      <c r="E344" s="19" t="s">
        <v>737</v>
      </c>
      <c r="F344" s="20">
        <v>3</v>
      </c>
      <c r="G344" s="21">
        <v>1</v>
      </c>
      <c r="H344" s="22">
        <f>F344 * G344 * 744.27633</f>
        <v>2232.82899</v>
      </c>
      <c r="I344" s="22">
        <f>F344 * G344 * 7128.96</f>
        <v>21386.880000000001</v>
      </c>
      <c r="J344" s="22">
        <f>F344 * G344 * 0</f>
        <v>0</v>
      </c>
      <c r="K344" s="22">
        <f>F344 * G344 * 708.551067</f>
        <v>2125.6532010000001</v>
      </c>
      <c r="L344" s="22">
        <f>F344 * G344 * 921.082801</f>
        <v>2763.2484030000001</v>
      </c>
      <c r="M344" s="22">
        <f>F344 * G344 * 148.855266</f>
        <v>446.56579799999997</v>
      </c>
      <c r="N344" s="26">
        <f>SUM(H344:M344)</f>
        <v>28955.176392000001</v>
      </c>
      <c r="O344" s="30">
        <v>0.66234734175130383</v>
      </c>
    </row>
    <row r="345" spans="2:15" ht="25.5">
      <c r="B345" s="17">
        <v>213</v>
      </c>
      <c r="C345" s="18" t="s">
        <v>837</v>
      </c>
      <c r="D345" s="19" t="s">
        <v>838</v>
      </c>
      <c r="E345" s="19" t="s">
        <v>748</v>
      </c>
      <c r="F345" s="20">
        <v>6</v>
      </c>
      <c r="G345" s="21">
        <v>1</v>
      </c>
      <c r="H345" s="22">
        <f>F345 * G345 * 474.164464</f>
        <v>2844.9867840000002</v>
      </c>
      <c r="I345" s="22">
        <f>F345 * G345 * 2413.466352</f>
        <v>14480.798112</v>
      </c>
      <c r="J345" s="22">
        <f>F345 * G345 * 0</f>
        <v>0</v>
      </c>
      <c r="K345" s="22">
        <f>F345 * G345 * 451.40457</f>
        <v>2708.42742</v>
      </c>
      <c r="L345" s="22">
        <f>F345 * G345 * 362.273103</f>
        <v>2173.638618</v>
      </c>
      <c r="M345" s="22">
        <f>F345 * G345 * 94.832893</f>
        <v>568.99735799999996</v>
      </c>
      <c r="N345" s="26">
        <f>SUM(H345:M345)</f>
        <v>22776.848292000002</v>
      </c>
      <c r="O345" s="30">
        <v>0.52101858111446619</v>
      </c>
    </row>
    <row r="346" spans="2:15" s="11" customFormat="1" ht="15">
      <c r="B346" s="12"/>
      <c r="C346" s="13" t="s">
        <v>839</v>
      </c>
      <c r="D346" s="46" t="s">
        <v>840</v>
      </c>
      <c r="E346" s="46"/>
      <c r="F346" s="46"/>
      <c r="G346" s="46"/>
      <c r="H346" s="46"/>
      <c r="I346" s="46"/>
      <c r="J346" s="46"/>
      <c r="K346" s="46"/>
      <c r="L346" s="46"/>
      <c r="M346" s="46"/>
      <c r="N346" s="47"/>
      <c r="O346" s="28"/>
    </row>
    <row r="347" spans="2:15" s="14" customFormat="1" ht="12.75">
      <c r="B347" s="15"/>
      <c r="C347" s="16" t="s">
        <v>841</v>
      </c>
      <c r="D347" s="48" t="s">
        <v>842</v>
      </c>
      <c r="E347" s="48"/>
      <c r="F347" s="48"/>
      <c r="G347" s="48"/>
      <c r="H347" s="48"/>
      <c r="I347" s="48"/>
      <c r="J347" s="48"/>
      <c r="K347" s="48"/>
      <c r="L347" s="48"/>
      <c r="M347" s="48"/>
      <c r="N347" s="49"/>
      <c r="O347" s="29"/>
    </row>
    <row r="348" spans="2:15" ht="38.25">
      <c r="B348" s="17">
        <v>214</v>
      </c>
      <c r="C348" s="18" t="s">
        <v>843</v>
      </c>
      <c r="D348" s="19" t="s">
        <v>844</v>
      </c>
      <c r="E348" s="19" t="s">
        <v>845</v>
      </c>
      <c r="F348" s="20">
        <v>1.6800000000000002</v>
      </c>
      <c r="G348" s="21">
        <v>12</v>
      </c>
      <c r="H348" s="22">
        <f>F348 * G348 * 1255.405859</f>
        <v>25308.982117440002</v>
      </c>
      <c r="I348" s="22">
        <f>F348 * G348 * 71.47008</f>
        <v>1440.8368128000002</v>
      </c>
      <c r="J348" s="22">
        <f>F348 * G348 * 0</f>
        <v>0</v>
      </c>
      <c r="K348" s="22">
        <f>F348 * G348 * 1195.146377</f>
        <v>24094.150960320007</v>
      </c>
      <c r="L348" s="22">
        <f>F348 * G348 * 292.562418</f>
        <v>5898.0583468800005</v>
      </c>
      <c r="M348" s="22">
        <f>F348 * G348 * 251.081172</f>
        <v>5061.7964275200011</v>
      </c>
      <c r="N348" s="26">
        <f>SUM(H348:M348)</f>
        <v>61803.824664960011</v>
      </c>
      <c r="O348" s="30">
        <v>1.4137575410595664</v>
      </c>
    </row>
    <row r="349" spans="2:15" ht="39" thickBot="1">
      <c r="B349" s="17">
        <v>215</v>
      </c>
      <c r="C349" s="18" t="s">
        <v>846</v>
      </c>
      <c r="D349" s="19" t="s">
        <v>847</v>
      </c>
      <c r="E349" s="19" t="s">
        <v>845</v>
      </c>
      <c r="F349" s="20">
        <v>1.6800000000000002</v>
      </c>
      <c r="G349" s="21">
        <v>12</v>
      </c>
      <c r="H349" s="22">
        <f>F349 * G349 * 894.476674</f>
        <v>18032.649747840005</v>
      </c>
      <c r="I349" s="22">
        <f>F349 * G349 * 324.864</f>
        <v>6549.258240000001</v>
      </c>
      <c r="J349" s="22">
        <f>F349 * G349 * 0</f>
        <v>0</v>
      </c>
      <c r="K349" s="22">
        <f>F349 * G349 * 851.541794</f>
        <v>17167.082567040005</v>
      </c>
      <c r="L349" s="22">
        <f>F349 * G349 * 237.351557999999</f>
        <v>4785.0074092799805</v>
      </c>
      <c r="M349" s="22">
        <f>F349 * G349 * 178.895335</f>
        <v>3606.5299536000002</v>
      </c>
      <c r="N349" s="26">
        <f>SUM(H349:M349)</f>
        <v>50140.527917759995</v>
      </c>
      <c r="O349" s="33">
        <v>1.1469605617567937</v>
      </c>
    </row>
    <row r="350" spans="2:15" s="23" customFormat="1" ht="20.100000000000001" customHeight="1" thickTop="1" thickBot="1">
      <c r="B350" s="54" t="s">
        <v>848</v>
      </c>
      <c r="C350" s="54"/>
      <c r="D350" s="54"/>
      <c r="E350" s="54"/>
      <c r="F350" s="54"/>
      <c r="G350" s="54"/>
      <c r="H350" s="24">
        <f t="shared" ref="H350:N350" si="17">SUM(H4:H349)</f>
        <v>744643.35220534995</v>
      </c>
      <c r="I350" s="24">
        <f t="shared" si="17"/>
        <v>732106.20698998298</v>
      </c>
      <c r="J350" s="24">
        <f t="shared" si="17"/>
        <v>20039.198535452</v>
      </c>
      <c r="K350" s="24">
        <f t="shared" si="17"/>
        <v>712769.87994115881</v>
      </c>
      <c r="L350" s="24">
        <f t="shared" si="17"/>
        <v>248906.17209682369</v>
      </c>
      <c r="M350" s="24">
        <f t="shared" si="17"/>
        <v>149741.57129836406</v>
      </c>
      <c r="N350" s="27">
        <f t="shared" si="17"/>
        <v>2608206.3810671312</v>
      </c>
      <c r="O350" s="34">
        <f t="shared" ref="O350" si="18">SUM(O4:O349)</f>
        <v>59.662512148118132</v>
      </c>
    </row>
    <row r="351" spans="2:15" ht="16.5" thickTop="1"/>
  </sheetData>
  <autoFilter ref="M1:N350"/>
  <mergeCells count="135">
    <mergeCell ref="D319:N319"/>
    <mergeCell ref="D324:N324"/>
    <mergeCell ref="D327:N327"/>
    <mergeCell ref="D339:N339"/>
    <mergeCell ref="D340:N340"/>
    <mergeCell ref="D343:N343"/>
    <mergeCell ref="D346:N346"/>
    <mergeCell ref="D347:N347"/>
    <mergeCell ref="B350:G350"/>
    <mergeCell ref="D291:N291"/>
    <mergeCell ref="D292:N292"/>
    <mergeCell ref="D296:N296"/>
    <mergeCell ref="D298:N298"/>
    <mergeCell ref="D301:N301"/>
    <mergeCell ref="D302:N302"/>
    <mergeCell ref="D308:N308"/>
    <mergeCell ref="D315:N315"/>
    <mergeCell ref="D317:N317"/>
    <mergeCell ref="D263:N263"/>
    <mergeCell ref="D266:N266"/>
    <mergeCell ref="D269:N269"/>
    <mergeCell ref="D272:N272"/>
    <mergeCell ref="D276:N276"/>
    <mergeCell ref="D277:N277"/>
    <mergeCell ref="D280:N280"/>
    <mergeCell ref="D288:N288"/>
    <mergeCell ref="D289:N289"/>
    <mergeCell ref="D241:N241"/>
    <mergeCell ref="D248:N248"/>
    <mergeCell ref="D249:N249"/>
    <mergeCell ref="D254:N254"/>
    <mergeCell ref="D257:N257"/>
    <mergeCell ref="D258:N258"/>
    <mergeCell ref="D260:N260"/>
    <mergeCell ref="D261:N261"/>
    <mergeCell ref="D262:N262"/>
    <mergeCell ref="D219:N219"/>
    <mergeCell ref="D223:N223"/>
    <mergeCell ref="D224:N224"/>
    <mergeCell ref="D228:N228"/>
    <mergeCell ref="D230:N230"/>
    <mergeCell ref="D232:N232"/>
    <mergeCell ref="D234:N234"/>
    <mergeCell ref="D238:N238"/>
    <mergeCell ref="D240:N240"/>
    <mergeCell ref="D189:N189"/>
    <mergeCell ref="D196:N196"/>
    <mergeCell ref="D198:N198"/>
    <mergeCell ref="D202:N202"/>
    <mergeCell ref="D205:N205"/>
    <mergeCell ref="D206:N206"/>
    <mergeCell ref="D209:N209"/>
    <mergeCell ref="D211:N211"/>
    <mergeCell ref="D216:N216"/>
    <mergeCell ref="D166:N166"/>
    <mergeCell ref="D169:N169"/>
    <mergeCell ref="D172:N172"/>
    <mergeCell ref="D173:N173"/>
    <mergeCell ref="D177:N177"/>
    <mergeCell ref="D180:N180"/>
    <mergeCell ref="D181:N181"/>
    <mergeCell ref="D186:N186"/>
    <mergeCell ref="D188:N188"/>
    <mergeCell ref="D148:N148"/>
    <mergeCell ref="D150:N150"/>
    <mergeCell ref="D151:N151"/>
    <mergeCell ref="D152:N152"/>
    <mergeCell ref="D156:N156"/>
    <mergeCell ref="D158:N158"/>
    <mergeCell ref="D160:N160"/>
    <mergeCell ref="D163:N163"/>
    <mergeCell ref="D164:N164"/>
    <mergeCell ref="D130:N130"/>
    <mergeCell ref="D133:N133"/>
    <mergeCell ref="D134:N134"/>
    <mergeCell ref="D136:N136"/>
    <mergeCell ref="D138:N138"/>
    <mergeCell ref="D139:N139"/>
    <mergeCell ref="D141:N141"/>
    <mergeCell ref="D142:N142"/>
    <mergeCell ref="D144:N144"/>
    <mergeCell ref="D111:N111"/>
    <mergeCell ref="D114:N114"/>
    <mergeCell ref="D115:N115"/>
    <mergeCell ref="D118:N118"/>
    <mergeCell ref="D119:N119"/>
    <mergeCell ref="D122:N122"/>
    <mergeCell ref="D124:N124"/>
    <mergeCell ref="D128:N128"/>
    <mergeCell ref="D129:N129"/>
    <mergeCell ref="D75:N75"/>
    <mergeCell ref="D77:N77"/>
    <mergeCell ref="D79:N79"/>
    <mergeCell ref="D81:N81"/>
    <mergeCell ref="D84:N84"/>
    <mergeCell ref="D85:N85"/>
    <mergeCell ref="D98:N98"/>
    <mergeCell ref="D107:N107"/>
    <mergeCell ref="D109:N109"/>
    <mergeCell ref="D59:N59"/>
    <mergeCell ref="D60:N60"/>
    <mergeCell ref="D61:N61"/>
    <mergeCell ref="D63:N63"/>
    <mergeCell ref="D64:N64"/>
    <mergeCell ref="D66:N66"/>
    <mergeCell ref="D67:N67"/>
    <mergeCell ref="D70:N70"/>
    <mergeCell ref="D73:N73"/>
    <mergeCell ref="D37:N37"/>
    <mergeCell ref="D42:N42"/>
    <mergeCell ref="D43:N43"/>
    <mergeCell ref="D47:N47"/>
    <mergeCell ref="D50:N50"/>
    <mergeCell ref="D52:N52"/>
    <mergeCell ref="D54:N54"/>
    <mergeCell ref="D55:N55"/>
    <mergeCell ref="D57:N57"/>
    <mergeCell ref="D22:N22"/>
    <mergeCell ref="D23:N23"/>
    <mergeCell ref="D25:N25"/>
    <mergeCell ref="D26:N26"/>
    <mergeCell ref="D29:N29"/>
    <mergeCell ref="D30:N30"/>
    <mergeCell ref="D32:N32"/>
    <mergeCell ref="D33:N33"/>
    <mergeCell ref="D35:N35"/>
    <mergeCell ref="B2:K3"/>
    <mergeCell ref="L2:M2"/>
    <mergeCell ref="L3:M3"/>
    <mergeCell ref="D4:N4"/>
    <mergeCell ref="D5:N5"/>
    <mergeCell ref="D7:N7"/>
    <mergeCell ref="D9:N9"/>
    <mergeCell ref="D18:N18"/>
    <mergeCell ref="D21:N21"/>
  </mergeCells>
  <pageMargins left="0.7" right="0.7" top="0.75" bottom="0.75" header="0.3" footer="0.3"/>
  <pageSetup paperSize="9" fitToHeight="0" orientation="landscape" horizontalDpi="4294967295" verticalDpi="4294967295" r:id="rId1"/>
  <headerFooter>
    <oddHeader>&amp;C&amp;KCCCCCC&amp;"Arial"4.1. МКД с уборкой МОП и Придомовой территории, отплние, ГВС-теплообменник, ХПВ, водоотведение, э.энергия, электроплита. Квартирного типа.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4.1. МКД с уборкой МОП и Придомовой территории, отплние, ГВС-теплообменник, ХПВ, водоотведение, э.энергия, электроплита. Квартирного типа.</dc:title>
  <dc:creator/>
  <cp:lastModifiedBy/>
  <cp:lastPrinted>2024-11-19T04:52:43Z</cp:lastPrinted>
  <dcterms:created xsi:type="dcterms:W3CDTF">2024-11-19T04:52:43Z</dcterms:created>
  <dcterms:modified xsi:type="dcterms:W3CDTF">2024-11-19T10:34:20Z</dcterms:modified>
</cp:coreProperties>
</file>