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240" yWindow="570" windowWidth="38055" windowHeight="11955"/>
  </bookViews>
  <sheets>
    <sheet name="Смета" sheetId="1" r:id="rId1"/>
  </sheets>
  <definedNames>
    <definedName name="_xlnm.Print_Titles" localSheetId="0">Смета!$1:$1</definedName>
  </definedNames>
  <calcPr calcId="124519"/>
</workbook>
</file>

<file path=xl/calcChain.xml><?xml version="1.0" encoding="utf-8"?>
<calcChain xmlns="http://schemas.openxmlformats.org/spreadsheetml/2006/main">
  <c r="M419" i="1"/>
  <c r="L419"/>
  <c r="K419"/>
  <c r="J419"/>
  <c r="I419"/>
  <c r="H419"/>
  <c r="M418"/>
  <c r="L418"/>
  <c r="K418"/>
  <c r="J418"/>
  <c r="I418"/>
  <c r="H418"/>
  <c r="M415"/>
  <c r="L415"/>
  <c r="K415"/>
  <c r="J415"/>
  <c r="I415"/>
  <c r="H415"/>
  <c r="M414"/>
  <c r="L414"/>
  <c r="K414"/>
  <c r="J414"/>
  <c r="I414"/>
  <c r="H414"/>
  <c r="M412"/>
  <c r="L412"/>
  <c r="K412"/>
  <c r="J412"/>
  <c r="I412"/>
  <c r="H412"/>
  <c r="M411"/>
  <c r="L411"/>
  <c r="K411"/>
  <c r="J411"/>
  <c r="I411"/>
  <c r="H411"/>
  <c r="M408"/>
  <c r="L408"/>
  <c r="K408"/>
  <c r="J408"/>
  <c r="I408"/>
  <c r="H408"/>
  <c r="M407"/>
  <c r="L407"/>
  <c r="K407"/>
  <c r="J407"/>
  <c r="I407"/>
  <c r="H407"/>
  <c r="M406"/>
  <c r="L406"/>
  <c r="K406"/>
  <c r="J406"/>
  <c r="I406"/>
  <c r="H406"/>
  <c r="M405"/>
  <c r="L405"/>
  <c r="K405"/>
  <c r="J405"/>
  <c r="I405"/>
  <c r="H405"/>
  <c r="M404"/>
  <c r="L404"/>
  <c r="K404"/>
  <c r="J404"/>
  <c r="I404"/>
  <c r="H404"/>
  <c r="M403"/>
  <c r="L403"/>
  <c r="K403"/>
  <c r="J403"/>
  <c r="I403"/>
  <c r="H403"/>
  <c r="M402"/>
  <c r="L402"/>
  <c r="K402"/>
  <c r="J402"/>
  <c r="I402"/>
  <c r="H402"/>
  <c r="M400"/>
  <c r="L400"/>
  <c r="K400"/>
  <c r="J400"/>
  <c r="I400"/>
  <c r="H400"/>
  <c r="M399"/>
  <c r="L399"/>
  <c r="K399"/>
  <c r="J399"/>
  <c r="I399"/>
  <c r="H399"/>
  <c r="M397"/>
  <c r="L397"/>
  <c r="K397"/>
  <c r="J397"/>
  <c r="I397"/>
  <c r="H397"/>
  <c r="M396"/>
  <c r="L396"/>
  <c r="K396"/>
  <c r="J396"/>
  <c r="I396"/>
  <c r="H396"/>
  <c r="M395"/>
  <c r="L395"/>
  <c r="K395"/>
  <c r="J395"/>
  <c r="I395"/>
  <c r="H395"/>
  <c r="M394"/>
  <c r="L394"/>
  <c r="K394"/>
  <c r="J394"/>
  <c r="I394"/>
  <c r="H394"/>
  <c r="M393"/>
  <c r="L393"/>
  <c r="K393"/>
  <c r="J393"/>
  <c r="I393"/>
  <c r="H393"/>
  <c r="M392"/>
  <c r="L392"/>
  <c r="K392"/>
  <c r="J392"/>
  <c r="I392"/>
  <c r="H392"/>
  <c r="M390"/>
  <c r="L390"/>
  <c r="K390"/>
  <c r="J390"/>
  <c r="I390"/>
  <c r="H390"/>
  <c r="M388"/>
  <c r="L388"/>
  <c r="K388"/>
  <c r="J388"/>
  <c r="I388"/>
  <c r="H388"/>
  <c r="M386"/>
  <c r="L386"/>
  <c r="K386"/>
  <c r="J386"/>
  <c r="I386"/>
  <c r="H386"/>
  <c r="M385"/>
  <c r="L385"/>
  <c r="K385"/>
  <c r="J385"/>
  <c r="I385"/>
  <c r="H385"/>
  <c r="M384"/>
  <c r="L384"/>
  <c r="K384"/>
  <c r="J384"/>
  <c r="I384"/>
  <c r="H384"/>
  <c r="M383"/>
  <c r="L383"/>
  <c r="K383"/>
  <c r="J383"/>
  <c r="I383"/>
  <c r="H383"/>
  <c r="M382"/>
  <c r="L382"/>
  <c r="K382"/>
  <c r="J382"/>
  <c r="I382"/>
  <c r="H382"/>
  <c r="M380"/>
  <c r="L380"/>
  <c r="K380"/>
  <c r="J380"/>
  <c r="I380"/>
  <c r="H380"/>
  <c r="M379"/>
  <c r="L379"/>
  <c r="K379"/>
  <c r="J379"/>
  <c r="I379"/>
  <c r="H379"/>
  <c r="M378"/>
  <c r="L378"/>
  <c r="K378"/>
  <c r="J378"/>
  <c r="I378"/>
  <c r="H378"/>
  <c r="M377"/>
  <c r="L377"/>
  <c r="K377"/>
  <c r="J377"/>
  <c r="I377"/>
  <c r="H377"/>
  <c r="M375"/>
  <c r="L375"/>
  <c r="K375"/>
  <c r="J375"/>
  <c r="I375"/>
  <c r="H375"/>
  <c r="M373"/>
  <c r="L373"/>
  <c r="K373"/>
  <c r="J373"/>
  <c r="I373"/>
  <c r="H373"/>
  <c r="M372"/>
  <c r="L372"/>
  <c r="K372"/>
  <c r="J372"/>
  <c r="I372"/>
  <c r="H372"/>
  <c r="M370"/>
  <c r="L370"/>
  <c r="K370"/>
  <c r="J370"/>
  <c r="I370"/>
  <c r="H370"/>
  <c r="M368"/>
  <c r="L368"/>
  <c r="K368"/>
  <c r="J368"/>
  <c r="I368"/>
  <c r="H368"/>
  <c r="M367"/>
  <c r="L367"/>
  <c r="K367"/>
  <c r="J367"/>
  <c r="I367"/>
  <c r="H367"/>
  <c r="M366"/>
  <c r="L366"/>
  <c r="K366"/>
  <c r="J366"/>
  <c r="I366"/>
  <c r="H366"/>
  <c r="M363"/>
  <c r="L363"/>
  <c r="K363"/>
  <c r="J363"/>
  <c r="I363"/>
  <c r="H363"/>
  <c r="M360"/>
  <c r="L360"/>
  <c r="K360"/>
  <c r="J360"/>
  <c r="I360"/>
  <c r="H360"/>
  <c r="M359"/>
  <c r="L359"/>
  <c r="K359"/>
  <c r="J359"/>
  <c r="I359"/>
  <c r="H359"/>
  <c r="M358"/>
  <c r="L358"/>
  <c r="K358"/>
  <c r="J358"/>
  <c r="I358"/>
  <c r="H358"/>
  <c r="M357"/>
  <c r="L357"/>
  <c r="K357"/>
  <c r="J357"/>
  <c r="I357"/>
  <c r="H357"/>
  <c r="M356"/>
  <c r="L356"/>
  <c r="K356"/>
  <c r="J356"/>
  <c r="I356"/>
  <c r="H356"/>
  <c r="M355"/>
  <c r="L355"/>
  <c r="K355"/>
  <c r="J355"/>
  <c r="I355"/>
  <c r="H355"/>
  <c r="M354"/>
  <c r="L354"/>
  <c r="K354"/>
  <c r="J354"/>
  <c r="I354"/>
  <c r="H354"/>
  <c r="M352"/>
  <c r="L352"/>
  <c r="K352"/>
  <c r="J352"/>
  <c r="I352"/>
  <c r="H352"/>
  <c r="M351"/>
  <c r="L351"/>
  <c r="K351"/>
  <c r="J351"/>
  <c r="I351"/>
  <c r="H351"/>
  <c r="M348"/>
  <c r="L348"/>
  <c r="K348"/>
  <c r="J348"/>
  <c r="I348"/>
  <c r="H348"/>
  <c r="M347"/>
  <c r="L347"/>
  <c r="K347"/>
  <c r="J347"/>
  <c r="I347"/>
  <c r="H347"/>
  <c r="M346"/>
  <c r="L346"/>
  <c r="K346"/>
  <c r="J346"/>
  <c r="I346"/>
  <c r="H346"/>
  <c r="M344"/>
  <c r="L344"/>
  <c r="K344"/>
  <c r="J344"/>
  <c r="I344"/>
  <c r="H344"/>
  <c r="M343"/>
  <c r="L343"/>
  <c r="K343"/>
  <c r="J343"/>
  <c r="I343"/>
  <c r="H343"/>
  <c r="M341"/>
  <c r="L341"/>
  <c r="K341"/>
  <c r="J341"/>
  <c r="I341"/>
  <c r="H341"/>
  <c r="M339"/>
  <c r="L339"/>
  <c r="K339"/>
  <c r="J339"/>
  <c r="I339"/>
  <c r="H339"/>
  <c r="M336"/>
  <c r="L336"/>
  <c r="K336"/>
  <c r="J336"/>
  <c r="I336"/>
  <c r="H336"/>
  <c r="M335"/>
  <c r="L335"/>
  <c r="K335"/>
  <c r="J335"/>
  <c r="I335"/>
  <c r="H335"/>
  <c r="M334"/>
  <c r="L334"/>
  <c r="K334"/>
  <c r="J334"/>
  <c r="I334"/>
  <c r="H334"/>
  <c r="M332"/>
  <c r="L332"/>
  <c r="K332"/>
  <c r="J332"/>
  <c r="I332"/>
  <c r="H332"/>
  <c r="M331"/>
  <c r="L331"/>
  <c r="K331"/>
  <c r="J331"/>
  <c r="I331"/>
  <c r="H331"/>
  <c r="M330"/>
  <c r="L330"/>
  <c r="K330"/>
  <c r="J330"/>
  <c r="I330"/>
  <c r="H330"/>
  <c r="M325"/>
  <c r="L325"/>
  <c r="K325"/>
  <c r="J325"/>
  <c r="I325"/>
  <c r="H325"/>
  <c r="M324"/>
  <c r="L324"/>
  <c r="K324"/>
  <c r="J324"/>
  <c r="I324"/>
  <c r="H324"/>
  <c r="M321"/>
  <c r="L321"/>
  <c r="K321"/>
  <c r="J321"/>
  <c r="I321"/>
  <c r="H321"/>
  <c r="M319"/>
  <c r="L319"/>
  <c r="K319"/>
  <c r="J319"/>
  <c r="I319"/>
  <c r="H319"/>
  <c r="M317"/>
  <c r="L317"/>
  <c r="K317"/>
  <c r="J317"/>
  <c r="I317"/>
  <c r="H317"/>
  <c r="M314"/>
  <c r="L314"/>
  <c r="K314"/>
  <c r="J314"/>
  <c r="I314"/>
  <c r="H314"/>
  <c r="M313"/>
  <c r="L313"/>
  <c r="K313"/>
  <c r="J313"/>
  <c r="I313"/>
  <c r="H313"/>
  <c r="M312"/>
  <c r="L312"/>
  <c r="K312"/>
  <c r="J312"/>
  <c r="I312"/>
  <c r="H312"/>
  <c r="M311"/>
  <c r="L311"/>
  <c r="K311"/>
  <c r="J311"/>
  <c r="I311"/>
  <c r="H311"/>
  <c r="M310"/>
  <c r="L310"/>
  <c r="K310"/>
  <c r="J310"/>
  <c r="I310"/>
  <c r="H310"/>
  <c r="M309"/>
  <c r="L309"/>
  <c r="K309"/>
  <c r="J309"/>
  <c r="I309"/>
  <c r="H309"/>
  <c r="M308"/>
  <c r="L308"/>
  <c r="K308"/>
  <c r="J308"/>
  <c r="I308"/>
  <c r="H308"/>
  <c r="M307"/>
  <c r="L307"/>
  <c r="K307"/>
  <c r="J307"/>
  <c r="I307"/>
  <c r="H307"/>
  <c r="M306"/>
  <c r="L306"/>
  <c r="K306"/>
  <c r="J306"/>
  <c r="I306"/>
  <c r="H306"/>
  <c r="M305"/>
  <c r="L305"/>
  <c r="K305"/>
  <c r="J305"/>
  <c r="I305"/>
  <c r="H305"/>
  <c r="M304"/>
  <c r="L304"/>
  <c r="K304"/>
  <c r="J304"/>
  <c r="I304"/>
  <c r="H304"/>
  <c r="M302"/>
  <c r="L302"/>
  <c r="K302"/>
  <c r="J302"/>
  <c r="I302"/>
  <c r="H302"/>
  <c r="M301"/>
  <c r="L301"/>
  <c r="K301"/>
  <c r="J301"/>
  <c r="I301"/>
  <c r="H301"/>
  <c r="M300"/>
  <c r="L300"/>
  <c r="K300"/>
  <c r="J300"/>
  <c r="I300"/>
  <c r="H300"/>
  <c r="M299"/>
  <c r="L299"/>
  <c r="K299"/>
  <c r="J299"/>
  <c r="I299"/>
  <c r="H299"/>
  <c r="M298"/>
  <c r="L298"/>
  <c r="K298"/>
  <c r="J298"/>
  <c r="I298"/>
  <c r="H298"/>
  <c r="M297"/>
  <c r="L297"/>
  <c r="K297"/>
  <c r="J297"/>
  <c r="I297"/>
  <c r="H297"/>
  <c r="M296"/>
  <c r="L296"/>
  <c r="K296"/>
  <c r="J296"/>
  <c r="I296"/>
  <c r="H296"/>
  <c r="M295"/>
  <c r="L295"/>
  <c r="K295"/>
  <c r="J295"/>
  <c r="I295"/>
  <c r="H295"/>
  <c r="M294"/>
  <c r="L294"/>
  <c r="K294"/>
  <c r="J294"/>
  <c r="I294"/>
  <c r="H294"/>
  <c r="M293"/>
  <c r="L293"/>
  <c r="K293"/>
  <c r="J293"/>
  <c r="I293"/>
  <c r="H293"/>
  <c r="M292"/>
  <c r="L292"/>
  <c r="K292"/>
  <c r="J292"/>
  <c r="I292"/>
  <c r="H292"/>
  <c r="M291"/>
  <c r="L291"/>
  <c r="K291"/>
  <c r="J291"/>
  <c r="I291"/>
  <c r="H291"/>
  <c r="M290"/>
  <c r="L290"/>
  <c r="K290"/>
  <c r="J290"/>
  <c r="I290"/>
  <c r="H290"/>
  <c r="M289"/>
  <c r="L289"/>
  <c r="K289"/>
  <c r="J289"/>
  <c r="I289"/>
  <c r="H289"/>
  <c r="M288"/>
  <c r="L288"/>
  <c r="K288"/>
  <c r="J288"/>
  <c r="I288"/>
  <c r="H288"/>
  <c r="M287"/>
  <c r="L287"/>
  <c r="K287"/>
  <c r="J287"/>
  <c r="I287"/>
  <c r="H287"/>
  <c r="M286"/>
  <c r="L286"/>
  <c r="K286"/>
  <c r="J286"/>
  <c r="I286"/>
  <c r="H286"/>
  <c r="M285"/>
  <c r="L285"/>
  <c r="K285"/>
  <c r="J285"/>
  <c r="I285"/>
  <c r="H285"/>
  <c r="M284"/>
  <c r="L284"/>
  <c r="K284"/>
  <c r="J284"/>
  <c r="I284"/>
  <c r="H284"/>
  <c r="M282"/>
  <c r="L282"/>
  <c r="K282"/>
  <c r="J282"/>
  <c r="I282"/>
  <c r="H282"/>
  <c r="M281"/>
  <c r="L281"/>
  <c r="K281"/>
  <c r="J281"/>
  <c r="I281"/>
  <c r="H281"/>
  <c r="M280"/>
  <c r="L280"/>
  <c r="K280"/>
  <c r="J280"/>
  <c r="I280"/>
  <c r="H280"/>
  <c r="M277"/>
  <c r="L277"/>
  <c r="K277"/>
  <c r="J277"/>
  <c r="I277"/>
  <c r="H277"/>
  <c r="M276"/>
  <c r="L276"/>
  <c r="K276"/>
  <c r="J276"/>
  <c r="I276"/>
  <c r="H276"/>
  <c r="M275"/>
  <c r="L275"/>
  <c r="K275"/>
  <c r="J275"/>
  <c r="I275"/>
  <c r="H275"/>
  <c r="M274"/>
  <c r="L274"/>
  <c r="K274"/>
  <c r="J274"/>
  <c r="I274"/>
  <c r="H274"/>
  <c r="M273"/>
  <c r="L273"/>
  <c r="K273"/>
  <c r="J273"/>
  <c r="I273"/>
  <c r="H273"/>
  <c r="M272"/>
  <c r="L272"/>
  <c r="K272"/>
  <c r="J272"/>
  <c r="I272"/>
  <c r="H272"/>
  <c r="M271"/>
  <c r="L271"/>
  <c r="K271"/>
  <c r="J271"/>
  <c r="I271"/>
  <c r="H271"/>
  <c r="M270"/>
  <c r="L270"/>
  <c r="K270"/>
  <c r="J270"/>
  <c r="I270"/>
  <c r="H270"/>
  <c r="M269"/>
  <c r="L269"/>
  <c r="K269"/>
  <c r="J269"/>
  <c r="I269"/>
  <c r="H269"/>
  <c r="M268"/>
  <c r="L268"/>
  <c r="K268"/>
  <c r="J268"/>
  <c r="I268"/>
  <c r="H268"/>
  <c r="M266"/>
  <c r="L266"/>
  <c r="K266"/>
  <c r="J266"/>
  <c r="I266"/>
  <c r="H266"/>
  <c r="M262"/>
  <c r="L262"/>
  <c r="K262"/>
  <c r="J262"/>
  <c r="I262"/>
  <c r="H262"/>
  <c r="M259"/>
  <c r="L259"/>
  <c r="K259"/>
  <c r="J259"/>
  <c r="I259"/>
  <c r="H259"/>
  <c r="M258"/>
  <c r="L258"/>
  <c r="K258"/>
  <c r="J258"/>
  <c r="I258"/>
  <c r="H258"/>
  <c r="M256"/>
  <c r="L256"/>
  <c r="K256"/>
  <c r="J256"/>
  <c r="I256"/>
  <c r="H256"/>
  <c r="M255"/>
  <c r="L255"/>
  <c r="K255"/>
  <c r="J255"/>
  <c r="I255"/>
  <c r="H255"/>
  <c r="M254"/>
  <c r="L254"/>
  <c r="K254"/>
  <c r="J254"/>
  <c r="I254"/>
  <c r="H254"/>
  <c r="M253"/>
  <c r="L253"/>
  <c r="K253"/>
  <c r="J253"/>
  <c r="I253"/>
  <c r="H253"/>
  <c r="M252"/>
  <c r="L252"/>
  <c r="K252"/>
  <c r="J252"/>
  <c r="I252"/>
  <c r="H252"/>
  <c r="M250"/>
  <c r="L250"/>
  <c r="K250"/>
  <c r="J250"/>
  <c r="I250"/>
  <c r="H250"/>
  <c r="M249"/>
  <c r="L249"/>
  <c r="K249"/>
  <c r="J249"/>
  <c r="I249"/>
  <c r="H249"/>
  <c r="M248"/>
  <c r="L248"/>
  <c r="K248"/>
  <c r="J248"/>
  <c r="I248"/>
  <c r="H248"/>
  <c r="M247"/>
  <c r="L247"/>
  <c r="K247"/>
  <c r="J247"/>
  <c r="I247"/>
  <c r="H247"/>
  <c r="M246"/>
  <c r="L246"/>
  <c r="K246"/>
  <c r="J246"/>
  <c r="I246"/>
  <c r="H246"/>
  <c r="M244"/>
  <c r="L244"/>
  <c r="K244"/>
  <c r="J244"/>
  <c r="I244"/>
  <c r="H244"/>
  <c r="M243"/>
  <c r="L243"/>
  <c r="K243"/>
  <c r="J243"/>
  <c r="I243"/>
  <c r="H243"/>
  <c r="M242"/>
  <c r="L242"/>
  <c r="K242"/>
  <c r="J242"/>
  <c r="I242"/>
  <c r="H242"/>
  <c r="M241"/>
  <c r="L241"/>
  <c r="K241"/>
  <c r="J241"/>
  <c r="I241"/>
  <c r="H241"/>
  <c r="M240"/>
  <c r="L240"/>
  <c r="K240"/>
  <c r="J240"/>
  <c r="I240"/>
  <c r="H240"/>
  <c r="M239"/>
  <c r="L239"/>
  <c r="K239"/>
  <c r="J239"/>
  <c r="I239"/>
  <c r="H239"/>
  <c r="M236"/>
  <c r="L236"/>
  <c r="K236"/>
  <c r="J236"/>
  <c r="I236"/>
  <c r="H236"/>
  <c r="M234"/>
  <c r="L234"/>
  <c r="K234"/>
  <c r="J234"/>
  <c r="I234"/>
  <c r="H234"/>
  <c r="M233"/>
  <c r="L233"/>
  <c r="K233"/>
  <c r="J233"/>
  <c r="I233"/>
  <c r="H233"/>
  <c r="M230"/>
  <c r="L230"/>
  <c r="K230"/>
  <c r="J230"/>
  <c r="I230"/>
  <c r="H230"/>
  <c r="M228"/>
  <c r="L228"/>
  <c r="K228"/>
  <c r="J228"/>
  <c r="I228"/>
  <c r="H228"/>
  <c r="M227"/>
  <c r="L227"/>
  <c r="K227"/>
  <c r="J227"/>
  <c r="I227"/>
  <c r="H227"/>
  <c r="M225"/>
  <c r="L225"/>
  <c r="K225"/>
  <c r="J225"/>
  <c r="I225"/>
  <c r="H225"/>
  <c r="M224"/>
  <c r="L224"/>
  <c r="K224"/>
  <c r="J224"/>
  <c r="I224"/>
  <c r="H224"/>
  <c r="M223"/>
  <c r="L223"/>
  <c r="K223"/>
  <c r="J223"/>
  <c r="I223"/>
  <c r="H223"/>
  <c r="M220"/>
  <c r="L220"/>
  <c r="K220"/>
  <c r="J220"/>
  <c r="I220"/>
  <c r="H220"/>
  <c r="M219"/>
  <c r="L219"/>
  <c r="K219"/>
  <c r="J219"/>
  <c r="I219"/>
  <c r="H219"/>
  <c r="M218"/>
  <c r="L218"/>
  <c r="K218"/>
  <c r="J218"/>
  <c r="I218"/>
  <c r="H218"/>
  <c r="M217"/>
  <c r="L217"/>
  <c r="K217"/>
  <c r="J217"/>
  <c r="I217"/>
  <c r="H217"/>
  <c r="M215"/>
  <c r="L215"/>
  <c r="K215"/>
  <c r="J215"/>
  <c r="I215"/>
  <c r="H215"/>
  <c r="M214"/>
  <c r="L214"/>
  <c r="K214"/>
  <c r="J214"/>
  <c r="I214"/>
  <c r="H214"/>
  <c r="M212"/>
  <c r="L212"/>
  <c r="K212"/>
  <c r="J212"/>
  <c r="I212"/>
  <c r="H212"/>
  <c r="M211"/>
  <c r="L211"/>
  <c r="K211"/>
  <c r="J211"/>
  <c r="I211"/>
  <c r="H211"/>
  <c r="M209"/>
  <c r="L209"/>
  <c r="K209"/>
  <c r="J209"/>
  <c r="I209"/>
  <c r="H209"/>
  <c r="M206"/>
  <c r="L206"/>
  <c r="K206"/>
  <c r="J206"/>
  <c r="I206"/>
  <c r="H206"/>
  <c r="M205"/>
  <c r="L205"/>
  <c r="K205"/>
  <c r="J205"/>
  <c r="I205"/>
  <c r="H205"/>
  <c r="M204"/>
  <c r="L204"/>
  <c r="K204"/>
  <c r="J204"/>
  <c r="I204"/>
  <c r="H204"/>
  <c r="M202"/>
  <c r="L202"/>
  <c r="K202"/>
  <c r="J202"/>
  <c r="I202"/>
  <c r="H202"/>
  <c r="M201"/>
  <c r="L201"/>
  <c r="K201"/>
  <c r="J201"/>
  <c r="I201"/>
  <c r="H201"/>
  <c r="M199"/>
  <c r="L199"/>
  <c r="K199"/>
  <c r="J199"/>
  <c r="I199"/>
  <c r="H199"/>
  <c r="M197"/>
  <c r="L197"/>
  <c r="K197"/>
  <c r="J197"/>
  <c r="I197"/>
  <c r="H197"/>
  <c r="M196"/>
  <c r="L196"/>
  <c r="K196"/>
  <c r="J196"/>
  <c r="I196"/>
  <c r="H196"/>
  <c r="M195"/>
  <c r="L195"/>
  <c r="K195"/>
  <c r="J195"/>
  <c r="I195"/>
  <c r="H195"/>
  <c r="M194"/>
  <c r="L194"/>
  <c r="K194"/>
  <c r="J194"/>
  <c r="I194"/>
  <c r="H194"/>
  <c r="M191"/>
  <c r="L191"/>
  <c r="K191"/>
  <c r="J191"/>
  <c r="I191"/>
  <c r="H191"/>
  <c r="M190"/>
  <c r="L190"/>
  <c r="K190"/>
  <c r="J190"/>
  <c r="I190"/>
  <c r="H190"/>
  <c r="M189"/>
  <c r="L189"/>
  <c r="K189"/>
  <c r="J189"/>
  <c r="I189"/>
  <c r="H189"/>
  <c r="M188"/>
  <c r="L188"/>
  <c r="K188"/>
  <c r="J188"/>
  <c r="I188"/>
  <c r="H188"/>
  <c r="M187"/>
  <c r="L187"/>
  <c r="K187"/>
  <c r="J187"/>
  <c r="I187"/>
  <c r="H187"/>
  <c r="M186"/>
  <c r="L186"/>
  <c r="K186"/>
  <c r="J186"/>
  <c r="I186"/>
  <c r="H186"/>
  <c r="M185"/>
  <c r="L185"/>
  <c r="K185"/>
  <c r="J185"/>
  <c r="I185"/>
  <c r="H185"/>
  <c r="M183"/>
  <c r="L183"/>
  <c r="K183"/>
  <c r="J183"/>
  <c r="I183"/>
  <c r="H183"/>
  <c r="M182"/>
  <c r="L182"/>
  <c r="K182"/>
  <c r="J182"/>
  <c r="I182"/>
  <c r="H182"/>
  <c r="M181"/>
  <c r="L181"/>
  <c r="K181"/>
  <c r="J181"/>
  <c r="I181"/>
  <c r="H181"/>
  <c r="M179"/>
  <c r="L179"/>
  <c r="K179"/>
  <c r="J179"/>
  <c r="I179"/>
  <c r="H179"/>
  <c r="M178"/>
  <c r="L178"/>
  <c r="K178"/>
  <c r="J178"/>
  <c r="I178"/>
  <c r="H178"/>
  <c r="M177"/>
  <c r="L177"/>
  <c r="K177"/>
  <c r="J177"/>
  <c r="I177"/>
  <c r="H177"/>
  <c r="M175"/>
  <c r="L175"/>
  <c r="K175"/>
  <c r="J175"/>
  <c r="I175"/>
  <c r="H175"/>
  <c r="M174"/>
  <c r="L174"/>
  <c r="K174"/>
  <c r="J174"/>
  <c r="I174"/>
  <c r="H174"/>
  <c r="M172"/>
  <c r="L172"/>
  <c r="K172"/>
  <c r="J172"/>
  <c r="I172"/>
  <c r="H172"/>
  <c r="M168"/>
  <c r="L168"/>
  <c r="K168"/>
  <c r="J168"/>
  <c r="I168"/>
  <c r="H168"/>
  <c r="M166"/>
  <c r="L166"/>
  <c r="K166"/>
  <c r="J166"/>
  <c r="I166"/>
  <c r="H166"/>
  <c r="M165"/>
  <c r="L165"/>
  <c r="K165"/>
  <c r="J165"/>
  <c r="I165"/>
  <c r="H165"/>
  <c r="M164"/>
  <c r="L164"/>
  <c r="K164"/>
  <c r="J164"/>
  <c r="I164"/>
  <c r="H164"/>
  <c r="M163"/>
  <c r="L163"/>
  <c r="K163"/>
  <c r="J163"/>
  <c r="I163"/>
  <c r="H163"/>
  <c r="M160"/>
  <c r="L160"/>
  <c r="K160"/>
  <c r="J160"/>
  <c r="I160"/>
  <c r="H160"/>
  <c r="M158"/>
  <c r="L158"/>
  <c r="K158"/>
  <c r="J158"/>
  <c r="I158"/>
  <c r="H158"/>
  <c r="M157"/>
  <c r="L157"/>
  <c r="K157"/>
  <c r="J157"/>
  <c r="I157"/>
  <c r="H157"/>
  <c r="M154"/>
  <c r="L154"/>
  <c r="K154"/>
  <c r="J154"/>
  <c r="I154"/>
  <c r="H154"/>
  <c r="M153"/>
  <c r="L153"/>
  <c r="K153"/>
  <c r="J153"/>
  <c r="I153"/>
  <c r="H153"/>
  <c r="M151"/>
  <c r="L151"/>
  <c r="K151"/>
  <c r="J151"/>
  <c r="I151"/>
  <c r="H151"/>
  <c r="M148"/>
  <c r="L148"/>
  <c r="K148"/>
  <c r="J148"/>
  <c r="I148"/>
  <c r="H148"/>
  <c r="M147"/>
  <c r="L147"/>
  <c r="K147"/>
  <c r="J147"/>
  <c r="I147"/>
  <c r="H147"/>
  <c r="M146"/>
  <c r="L146"/>
  <c r="K146"/>
  <c r="J146"/>
  <c r="I146"/>
  <c r="H146"/>
  <c r="M145"/>
  <c r="L145"/>
  <c r="K145"/>
  <c r="J145"/>
  <c r="I145"/>
  <c r="H145"/>
  <c r="M144"/>
  <c r="L144"/>
  <c r="K144"/>
  <c r="J144"/>
  <c r="I144"/>
  <c r="H144"/>
  <c r="M143"/>
  <c r="L143"/>
  <c r="K143"/>
  <c r="J143"/>
  <c r="I143"/>
  <c r="H143"/>
  <c r="M140"/>
  <c r="L140"/>
  <c r="K140"/>
  <c r="J140"/>
  <c r="I140"/>
  <c r="H140"/>
  <c r="M138"/>
  <c r="L138"/>
  <c r="K138"/>
  <c r="J138"/>
  <c r="I138"/>
  <c r="H138"/>
  <c r="M136"/>
  <c r="L136"/>
  <c r="K136"/>
  <c r="J136"/>
  <c r="I136"/>
  <c r="H136"/>
  <c r="M134"/>
  <c r="L134"/>
  <c r="K134"/>
  <c r="J134"/>
  <c r="I134"/>
  <c r="H134"/>
  <c r="M130"/>
  <c r="L130"/>
  <c r="K130"/>
  <c r="J130"/>
  <c r="I130"/>
  <c r="H130"/>
  <c r="M128"/>
  <c r="L128"/>
  <c r="K128"/>
  <c r="J128"/>
  <c r="I128"/>
  <c r="H128"/>
  <c r="M126"/>
  <c r="L126"/>
  <c r="K126"/>
  <c r="J126"/>
  <c r="I126"/>
  <c r="H126"/>
  <c r="M123"/>
  <c r="L123"/>
  <c r="K123"/>
  <c r="J123"/>
  <c r="I123"/>
  <c r="H123"/>
  <c r="M121"/>
  <c r="L121"/>
  <c r="K121"/>
  <c r="J121"/>
  <c r="I121"/>
  <c r="H121"/>
  <c r="M118"/>
  <c r="L118"/>
  <c r="K118"/>
  <c r="J118"/>
  <c r="I118"/>
  <c r="H118"/>
  <c r="M116"/>
  <c r="L116"/>
  <c r="K116"/>
  <c r="J116"/>
  <c r="I116"/>
  <c r="H116"/>
  <c r="M113"/>
  <c r="L113"/>
  <c r="K113"/>
  <c r="J113"/>
  <c r="I113"/>
  <c r="H113"/>
  <c r="M112"/>
  <c r="L112"/>
  <c r="K112"/>
  <c r="J112"/>
  <c r="I112"/>
  <c r="H112"/>
  <c r="M108"/>
  <c r="L108"/>
  <c r="K108"/>
  <c r="J108"/>
  <c r="I108"/>
  <c r="H108"/>
  <c r="M107"/>
  <c r="L107"/>
  <c r="K107"/>
  <c r="J107"/>
  <c r="I107"/>
  <c r="H107"/>
  <c r="M106"/>
  <c r="L106"/>
  <c r="K106"/>
  <c r="J106"/>
  <c r="I106"/>
  <c r="H106"/>
  <c r="M104"/>
  <c r="L104"/>
  <c r="K104"/>
  <c r="J104"/>
  <c r="I104"/>
  <c r="H104"/>
  <c r="M102"/>
  <c r="L102"/>
  <c r="K102"/>
  <c r="J102"/>
  <c r="I102"/>
  <c r="H102"/>
  <c r="M99"/>
  <c r="L99"/>
  <c r="K99"/>
  <c r="J99"/>
  <c r="I99"/>
  <c r="H99"/>
  <c r="M98"/>
  <c r="L98"/>
  <c r="K98"/>
  <c r="J98"/>
  <c r="I98"/>
  <c r="H98"/>
  <c r="M95"/>
  <c r="L95"/>
  <c r="K95"/>
  <c r="J95"/>
  <c r="I95"/>
  <c r="H95"/>
  <c r="M93"/>
  <c r="L93"/>
  <c r="K93"/>
  <c r="J93"/>
  <c r="I93"/>
  <c r="H93"/>
  <c r="M91"/>
  <c r="L91"/>
  <c r="K91"/>
  <c r="J91"/>
  <c r="I91"/>
  <c r="H91"/>
  <c r="M89"/>
  <c r="L89"/>
  <c r="K89"/>
  <c r="J89"/>
  <c r="I89"/>
  <c r="H89"/>
  <c r="M88"/>
  <c r="L88"/>
  <c r="K88"/>
  <c r="J88"/>
  <c r="I88"/>
  <c r="H88"/>
  <c r="M87"/>
  <c r="L87"/>
  <c r="K87"/>
  <c r="J87"/>
  <c r="I87"/>
  <c r="H87"/>
  <c r="M86"/>
  <c r="L86"/>
  <c r="K86"/>
  <c r="J86"/>
  <c r="I86"/>
  <c r="H86"/>
  <c r="M85"/>
  <c r="L85"/>
  <c r="K85"/>
  <c r="J85"/>
  <c r="I85"/>
  <c r="H85"/>
  <c r="M84"/>
  <c r="L84"/>
  <c r="K84"/>
  <c r="J84"/>
  <c r="I84"/>
  <c r="H84"/>
  <c r="M82"/>
  <c r="L82"/>
  <c r="K82"/>
  <c r="J82"/>
  <c r="I82"/>
  <c r="H82"/>
  <c r="M81"/>
  <c r="L81"/>
  <c r="K81"/>
  <c r="J81"/>
  <c r="I81"/>
  <c r="H81"/>
  <c r="M80"/>
  <c r="L80"/>
  <c r="K80"/>
  <c r="J80"/>
  <c r="I80"/>
  <c r="H80"/>
  <c r="M79"/>
  <c r="L79"/>
  <c r="K79"/>
  <c r="J79"/>
  <c r="I79"/>
  <c r="H79"/>
  <c r="M78"/>
  <c r="L78"/>
  <c r="K78"/>
  <c r="J78"/>
  <c r="I78"/>
  <c r="H78"/>
  <c r="M77"/>
  <c r="L77"/>
  <c r="K77"/>
  <c r="J77"/>
  <c r="I77"/>
  <c r="H77"/>
  <c r="M76"/>
  <c r="L76"/>
  <c r="K76"/>
  <c r="J76"/>
  <c r="I76"/>
  <c r="H76"/>
  <c r="M75"/>
  <c r="L75"/>
  <c r="K75"/>
  <c r="J75"/>
  <c r="I75"/>
  <c r="H75"/>
  <c r="M74"/>
  <c r="L74"/>
  <c r="K74"/>
  <c r="J74"/>
  <c r="I74"/>
  <c r="H74"/>
  <c r="M73"/>
  <c r="L73"/>
  <c r="K73"/>
  <c r="J73"/>
  <c r="I73"/>
  <c r="H73"/>
  <c r="M72"/>
  <c r="L72"/>
  <c r="K72"/>
  <c r="J72"/>
  <c r="I72"/>
  <c r="H72"/>
  <c r="M71"/>
  <c r="L71"/>
  <c r="K71"/>
  <c r="J71"/>
  <c r="I71"/>
  <c r="H71"/>
  <c r="M68"/>
  <c r="L68"/>
  <c r="K68"/>
  <c r="J68"/>
  <c r="I68"/>
  <c r="H68"/>
  <c r="M67"/>
  <c r="L67"/>
  <c r="K67"/>
  <c r="J67"/>
  <c r="I67"/>
  <c r="H67"/>
  <c r="M66"/>
  <c r="L66"/>
  <c r="K66"/>
  <c r="J66"/>
  <c r="I66"/>
  <c r="H66"/>
  <c r="M64"/>
  <c r="L64"/>
  <c r="K64"/>
  <c r="J64"/>
  <c r="I64"/>
  <c r="H64"/>
  <c r="M62"/>
  <c r="L62"/>
  <c r="K62"/>
  <c r="J62"/>
  <c r="I62"/>
  <c r="H62"/>
  <c r="M61"/>
  <c r="L61"/>
  <c r="K61"/>
  <c r="J61"/>
  <c r="I61"/>
  <c r="H61"/>
  <c r="M59"/>
  <c r="L59"/>
  <c r="K59"/>
  <c r="J59"/>
  <c r="I59"/>
  <c r="H59"/>
  <c r="M58"/>
  <c r="L58"/>
  <c r="K58"/>
  <c r="J58"/>
  <c r="I58"/>
  <c r="H58"/>
  <c r="M56"/>
  <c r="L56"/>
  <c r="K56"/>
  <c r="J56"/>
  <c r="I56"/>
  <c r="H56"/>
  <c r="M53"/>
  <c r="L53"/>
  <c r="K53"/>
  <c r="J53"/>
  <c r="I53"/>
  <c r="H53"/>
  <c r="M49"/>
  <c r="L49"/>
  <c r="K49"/>
  <c r="J49"/>
  <c r="I49"/>
  <c r="H49"/>
  <c r="M47"/>
  <c r="L47"/>
  <c r="K47"/>
  <c r="J47"/>
  <c r="I47"/>
  <c r="H47"/>
  <c r="M44"/>
  <c r="L44"/>
  <c r="K44"/>
  <c r="J44"/>
  <c r="I44"/>
  <c r="H44"/>
  <c r="M42"/>
  <c r="L42"/>
  <c r="K42"/>
  <c r="J42"/>
  <c r="I42"/>
  <c r="H42"/>
  <c r="M40"/>
  <c r="L40"/>
  <c r="K40"/>
  <c r="J40"/>
  <c r="I40"/>
  <c r="H40"/>
  <c r="M37"/>
  <c r="L37"/>
  <c r="K37"/>
  <c r="J37"/>
  <c r="I37"/>
  <c r="H37"/>
  <c r="M36"/>
  <c r="L36"/>
  <c r="K36"/>
  <c r="J36"/>
  <c r="I36"/>
  <c r="H36"/>
  <c r="M35"/>
  <c r="L35"/>
  <c r="K35"/>
  <c r="J35"/>
  <c r="I35"/>
  <c r="H35"/>
  <c r="M34"/>
  <c r="L34"/>
  <c r="K34"/>
  <c r="J34"/>
  <c r="I34"/>
  <c r="H34"/>
  <c r="M32"/>
  <c r="L32"/>
  <c r="K32"/>
  <c r="J32"/>
  <c r="I32"/>
  <c r="H32"/>
  <c r="M29"/>
  <c r="L29"/>
  <c r="K29"/>
  <c r="J29"/>
  <c r="I29"/>
  <c r="H29"/>
  <c r="M28"/>
  <c r="L28"/>
  <c r="K28"/>
  <c r="J28"/>
  <c r="I28"/>
  <c r="H28"/>
  <c r="M25"/>
  <c r="L25"/>
  <c r="K25"/>
  <c r="J25"/>
  <c r="I25"/>
  <c r="H25"/>
  <c r="M22"/>
  <c r="L22"/>
  <c r="K22"/>
  <c r="J22"/>
  <c r="I22"/>
  <c r="H22"/>
  <c r="M21"/>
  <c r="L21"/>
  <c r="K21"/>
  <c r="J21"/>
  <c r="I21"/>
  <c r="H21"/>
  <c r="M19"/>
  <c r="L19"/>
  <c r="K19"/>
  <c r="J19"/>
  <c r="I19"/>
  <c r="H19"/>
  <c r="M17"/>
  <c r="L17"/>
  <c r="K17"/>
  <c r="J17"/>
  <c r="I17"/>
  <c r="H17"/>
  <c r="M16"/>
  <c r="L16"/>
  <c r="K16"/>
  <c r="J16"/>
  <c r="I16"/>
  <c r="H16"/>
  <c r="M15"/>
  <c r="L15"/>
  <c r="K15"/>
  <c r="J15"/>
  <c r="I15"/>
  <c r="H15"/>
  <c r="M14"/>
  <c r="L14"/>
  <c r="K14"/>
  <c r="J14"/>
  <c r="I14"/>
  <c r="H14"/>
  <c r="M13"/>
  <c r="L13"/>
  <c r="K13"/>
  <c r="J13"/>
  <c r="I13"/>
  <c r="H13"/>
  <c r="M12"/>
  <c r="L12"/>
  <c r="K12"/>
  <c r="J12"/>
  <c r="I12"/>
  <c r="H12"/>
  <c r="M11"/>
  <c r="L11"/>
  <c r="K11"/>
  <c r="J11"/>
  <c r="I11"/>
  <c r="H11"/>
  <c r="M9"/>
  <c r="L9"/>
  <c r="K9"/>
  <c r="J9"/>
  <c r="I9"/>
  <c r="H9"/>
  <c r="M8"/>
  <c r="L8"/>
  <c r="K8"/>
  <c r="J8"/>
  <c r="I8"/>
  <c r="H8"/>
  <c r="M6"/>
  <c r="L6"/>
  <c r="K6"/>
  <c r="K420" s="1"/>
  <c r="J6"/>
  <c r="I6"/>
  <c r="H6"/>
  <c r="H420" l="1"/>
  <c r="L420"/>
  <c r="N9"/>
  <c r="N12"/>
  <c r="N14"/>
  <c r="N16"/>
  <c r="N19"/>
  <c r="N22"/>
  <c r="N28"/>
  <c r="N32"/>
  <c r="N35"/>
  <c r="N37"/>
  <c r="N42"/>
  <c r="N47"/>
  <c r="N53"/>
  <c r="N58"/>
  <c r="N61"/>
  <c r="N64"/>
  <c r="N67"/>
  <c r="N71"/>
  <c r="N73"/>
  <c r="N75"/>
  <c r="N77"/>
  <c r="N79"/>
  <c r="N81"/>
  <c r="N84"/>
  <c r="N86"/>
  <c r="N88"/>
  <c r="N91"/>
  <c r="N95"/>
  <c r="N99"/>
  <c r="N104"/>
  <c r="N107"/>
  <c r="N112"/>
  <c r="N116"/>
  <c r="N121"/>
  <c r="N126"/>
  <c r="N130"/>
  <c r="N136"/>
  <c r="N140"/>
  <c r="N144"/>
  <c r="N146"/>
  <c r="N148"/>
  <c r="N153"/>
  <c r="N157"/>
  <c r="N160"/>
  <c r="N164"/>
  <c r="N166"/>
  <c r="N172"/>
  <c r="N175"/>
  <c r="N178"/>
  <c r="N181"/>
  <c r="N183"/>
  <c r="N186"/>
  <c r="N188"/>
  <c r="N190"/>
  <c r="N194"/>
  <c r="N195"/>
  <c r="N196"/>
  <c r="N199"/>
  <c r="N202"/>
  <c r="N205"/>
  <c r="N209"/>
  <c r="N212"/>
  <c r="N215"/>
  <c r="N218"/>
  <c r="N220"/>
  <c r="N227"/>
  <c r="N230"/>
  <c r="N234"/>
  <c r="N239"/>
  <c r="N241"/>
  <c r="N243"/>
  <c r="N246"/>
  <c r="N248"/>
  <c r="N250"/>
  <c r="N253"/>
  <c r="N255"/>
  <c r="N258"/>
  <c r="N262"/>
  <c r="N270"/>
  <c r="N272"/>
  <c r="N274"/>
  <c r="N276"/>
  <c r="N280"/>
  <c r="N282"/>
  <c r="N285"/>
  <c r="N287"/>
  <c r="N289"/>
  <c r="N291"/>
  <c r="N293"/>
  <c r="N295"/>
  <c r="N297"/>
  <c r="N299"/>
  <c r="N301"/>
  <c r="N304"/>
  <c r="N306"/>
  <c r="N308"/>
  <c r="N310"/>
  <c r="N312"/>
  <c r="N319"/>
  <c r="N324"/>
  <c r="N330"/>
  <c r="N332"/>
  <c r="N335"/>
  <c r="N339"/>
  <c r="N343"/>
  <c r="N346"/>
  <c r="N348"/>
  <c r="N352"/>
  <c r="N355"/>
  <c r="N357"/>
  <c r="N359"/>
  <c r="N363"/>
  <c r="N367"/>
  <c r="N370"/>
  <c r="N373"/>
  <c r="N377"/>
  <c r="N379"/>
  <c r="N382"/>
  <c r="N384"/>
  <c r="N386"/>
  <c r="N390"/>
  <c r="N393"/>
  <c r="N395"/>
  <c r="N397"/>
  <c r="N400"/>
  <c r="N403"/>
  <c r="N405"/>
  <c r="N407"/>
  <c r="N411"/>
  <c r="N414"/>
  <c r="N224"/>
  <c r="N314"/>
  <c r="N418"/>
  <c r="J420"/>
  <c r="N8"/>
  <c r="N11"/>
  <c r="N13"/>
  <c r="N15"/>
  <c r="N17"/>
  <c r="N21"/>
  <c r="N25"/>
  <c r="N29"/>
  <c r="N34"/>
  <c r="N36"/>
  <c r="N40"/>
  <c r="N44"/>
  <c r="N49"/>
  <c r="N56"/>
  <c r="N59"/>
  <c r="N62"/>
  <c r="N66"/>
  <c r="N68"/>
  <c r="N72"/>
  <c r="N74"/>
  <c r="N76"/>
  <c r="N78"/>
  <c r="N80"/>
  <c r="N82"/>
  <c r="N85"/>
  <c r="N87"/>
  <c r="N89"/>
  <c r="N93"/>
  <c r="N98"/>
  <c r="N102"/>
  <c r="N106"/>
  <c r="N108"/>
  <c r="N113"/>
  <c r="N118"/>
  <c r="N123"/>
  <c r="N128"/>
  <c r="N134"/>
  <c r="N138"/>
  <c r="N143"/>
  <c r="N145"/>
  <c r="N147"/>
  <c r="N151"/>
  <c r="N154"/>
  <c r="N158"/>
  <c r="N163"/>
  <c r="N165"/>
  <c r="N168"/>
  <c r="N174"/>
  <c r="N177"/>
  <c r="N179"/>
  <c r="N182"/>
  <c r="N185"/>
  <c r="N187"/>
  <c r="N189"/>
  <c r="N191"/>
  <c r="N197"/>
  <c r="N201"/>
  <c r="N204"/>
  <c r="N206"/>
  <c r="N211"/>
  <c r="N214"/>
  <c r="N217"/>
  <c r="N219"/>
  <c r="N223"/>
  <c r="N225"/>
  <c r="N228"/>
  <c r="N233"/>
  <c r="N236"/>
  <c r="N240"/>
  <c r="N242"/>
  <c r="N244"/>
  <c r="N247"/>
  <c r="N249"/>
  <c r="N252"/>
  <c r="N254"/>
  <c r="N256"/>
  <c r="N259"/>
  <c r="N266"/>
  <c r="N269"/>
  <c r="N271"/>
  <c r="N273"/>
  <c r="N275"/>
  <c r="N277"/>
  <c r="N281"/>
  <c r="N284"/>
  <c r="N286"/>
  <c r="N288"/>
  <c r="N290"/>
  <c r="N292"/>
  <c r="N294"/>
  <c r="N296"/>
  <c r="N298"/>
  <c r="N300"/>
  <c r="N302"/>
  <c r="N305"/>
  <c r="N307"/>
  <c r="N309"/>
  <c r="N311"/>
  <c r="N313"/>
  <c r="N317"/>
  <c r="N321"/>
  <c r="N325"/>
  <c r="N331"/>
  <c r="N334"/>
  <c r="N336"/>
  <c r="N341"/>
  <c r="N344"/>
  <c r="N347"/>
  <c r="N351"/>
  <c r="N354"/>
  <c r="N356"/>
  <c r="N358"/>
  <c r="N360"/>
  <c r="N366"/>
  <c r="N368"/>
  <c r="N372"/>
  <c r="N375"/>
  <c r="N378"/>
  <c r="N380"/>
  <c r="N383"/>
  <c r="N385"/>
  <c r="N388"/>
  <c r="N392"/>
  <c r="N394"/>
  <c r="N396"/>
  <c r="N399"/>
  <c r="N402"/>
  <c r="N404"/>
  <c r="N406"/>
  <c r="N408"/>
  <c r="N412"/>
  <c r="N415"/>
  <c r="N419"/>
  <c r="I420"/>
  <c r="M420"/>
  <c r="N268"/>
  <c r="N6"/>
  <c r="N420" l="1"/>
</calcChain>
</file>

<file path=xl/sharedStrings.xml><?xml version="1.0" encoding="utf-8"?>
<sst xmlns="http://schemas.openxmlformats.org/spreadsheetml/2006/main" count="1120" uniqueCount="1027">
  <si>
    <t/>
  </si>
  <si>
    <t>№ ПП</t>
  </si>
  <si>
    <t>КОД</t>
  </si>
  <si>
    <t>НАЗВАНИЕ РАБОТЫ</t>
  </si>
  <si>
    <t>ИЗМЕРИТЕЛЬ</t>
  </si>
  <si>
    <t>КОЛ-ВО ЕД. ИЗМ.</t>
  </si>
  <si>
    <t>ПЕРИОДИЧ- НОСТЬ В ГОД</t>
  </si>
  <si>
    <t>ТРУД. РЕСУРСЫ, РУБ.</t>
  </si>
  <si>
    <t>МАТЕР. РЕСУРСЫ, РУБ.</t>
  </si>
  <si>
    <t>МАШ. МЕХ., РУБ.</t>
  </si>
  <si>
    <t>НАКЛ. РАСХОДЫ, РУБ.</t>
  </si>
  <si>
    <t>ПРИБЫЛЬ, РУБ.</t>
  </si>
  <si>
    <t>РАСХОДЫ НА УПРАВ., РУБ.</t>
  </si>
  <si>
    <t>СТОИМОСТЬ, РУБ.</t>
  </si>
  <si>
    <t>1.7. МКД с лифтами, без мусоропровода, с газоснабжением, с уборкой мест общего пользования и придомовой территории</t>
  </si>
  <si>
    <t>Дата изменения:</t>
  </si>
  <si>
    <t>Общая площадь, кв.м:</t>
  </si>
  <si>
    <t>1.1</t>
  </si>
  <si>
    <t>Фундаменты</t>
  </si>
  <si>
    <t>1.1.2</t>
  </si>
  <si>
    <t>Осушение фундаментов</t>
  </si>
  <si>
    <t>1.1.2.3</t>
  </si>
  <si>
    <t>Осушение электрическими насосами</t>
  </si>
  <si>
    <t>100 м3 воды</t>
  </si>
  <si>
    <t>1.1.3</t>
  </si>
  <si>
    <t>Устранение замачивания грунта под фундаментом</t>
  </si>
  <si>
    <t>1.1.3.1</t>
  </si>
  <si>
    <t>Замена поврежденного участка трубопровода диаметром до 100 мм</t>
  </si>
  <si>
    <t>1 участок (6 м)</t>
  </si>
  <si>
    <t>1.1.4</t>
  </si>
  <si>
    <t>Прочистка внутридомовых и наружных  дренажей</t>
  </si>
  <si>
    <t>1 пролет</t>
  </si>
  <si>
    <t>1.1.7</t>
  </si>
  <si>
    <t>Восстановление (ремонт)  освещения и  вентиляции  подвала</t>
  </si>
  <si>
    <t>1.1.7.1</t>
  </si>
  <si>
    <t>Замена неисправных участков электрической сети (скрытая проводка) при числе и сечении жил в проводе  2x1,5 и 2x2,5 кв.м.</t>
  </si>
  <si>
    <t>100 пог.м</t>
  </si>
  <si>
    <t>1.1.7.3</t>
  </si>
  <si>
    <t>Замена ламп накаливания</t>
  </si>
  <si>
    <t>100 шт.</t>
  </si>
  <si>
    <t>1.1.7.4</t>
  </si>
  <si>
    <t>Замена выключателей</t>
  </si>
  <si>
    <t>1.1.7.5</t>
  </si>
  <si>
    <t>Замена патронов</t>
  </si>
  <si>
    <t>1.1.8</t>
  </si>
  <si>
    <t>Восстановление (ремонт)  решеток на  продухах  фундамента</t>
  </si>
  <si>
    <t>100 решеток</t>
  </si>
  <si>
    <t>1.1.9</t>
  </si>
  <si>
    <t>Восстановление (ремонт)  приямков</t>
  </si>
  <si>
    <t>кв.м. приямка</t>
  </si>
  <si>
    <t>1.1.10</t>
  </si>
  <si>
    <t>Восстановление (ремонт) отмостки</t>
  </si>
  <si>
    <t>100 м2 отмостки</t>
  </si>
  <si>
    <t>1.1.11</t>
  </si>
  <si>
    <t>Восстановление  (ремонт) гидроизоляции</t>
  </si>
  <si>
    <t>1.1.11.6</t>
  </si>
  <si>
    <t>Ремонт обмазочной (окрасочной) гидроизоляции полов подвалов механизированным способом</t>
  </si>
  <si>
    <t>100 м2 поверхности</t>
  </si>
  <si>
    <t>1.1.13</t>
  </si>
  <si>
    <t>Утепление потолка подвала и пола чердака</t>
  </si>
  <si>
    <t>1.1.13.1</t>
  </si>
  <si>
    <t>Утепление потолка подвала при толщине утеплителя 60 мм</t>
  </si>
  <si>
    <t>100 м2 утепляемой поверхности</t>
  </si>
  <si>
    <t>1.1.14</t>
  </si>
  <si>
    <t>Заделка на зиму вентиляционных продухов</t>
  </si>
  <si>
    <t>1 место</t>
  </si>
  <si>
    <t>1.2</t>
  </si>
  <si>
    <t>Кирпичные, каменные и железобетонные стены</t>
  </si>
  <si>
    <t>1.2.3</t>
  </si>
  <si>
    <t>Модернизация теплоизоляции стен</t>
  </si>
  <si>
    <t>1.2.3.2</t>
  </si>
  <si>
    <t>Устройство теплоизоляции фасадов зданий, теплоизоляция плитами из пенополистирола на клее с креплением дюбелями с лесов при толщине утеплителя 100 мм (по кирпичу и бетону)</t>
  </si>
  <si>
    <t>100 м2</t>
  </si>
  <si>
    <t>1.2.11</t>
  </si>
  <si>
    <t>Герметизация, теплоизоляция межпанельных и иных швов</t>
  </si>
  <si>
    <t>1.2.11.1</t>
  </si>
  <si>
    <t>Заделка и герметизация швов и стыков</t>
  </si>
  <si>
    <t>1.2.11.1.1</t>
  </si>
  <si>
    <t>Заделка и герметизация швов и стыков в стенах крупноблочных и крупнопанельных домов</t>
  </si>
  <si>
    <t>на 10 м шва (стыка)</t>
  </si>
  <si>
    <t>1.2.11.1.2</t>
  </si>
  <si>
    <t>Заделка и герметизация швов и стыков в местах примыкания балконных плит к стенам</t>
  </si>
  <si>
    <t>1.2.17</t>
  </si>
  <si>
    <t>Окраска стен  помещений  общего  пользования</t>
  </si>
  <si>
    <t>1.2.17.4</t>
  </si>
  <si>
    <t>Окрашивание поверхностей стен водоэмульсионными составами</t>
  </si>
  <si>
    <t>1.2.17.4.1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</si>
  <si>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</si>
  <si>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100 м2 окрашиваемой поверхности</t>
  </si>
  <si>
    <t>1.2.18</t>
  </si>
  <si>
    <t>Внутренняя отделка зданий</t>
  </si>
  <si>
    <t>1.2.18.1</t>
  </si>
  <si>
    <t>Ремонт внутренней штукатурки потолков отдельными местами</t>
  </si>
  <si>
    <t>100 кв. м</t>
  </si>
  <si>
    <t>1.2.18.3</t>
  </si>
  <si>
    <t>Перетирка штукатурки поверхности потолков</t>
  </si>
  <si>
    <t>100 кв.м</t>
  </si>
  <si>
    <t>1.2.18.9</t>
  </si>
  <si>
    <t>Окрашивание водоэмульсионными составами поверхностей потолков, ранее окрашенных известковой или клеевой краской с расчисткой старой краски более 35%</t>
  </si>
  <si>
    <t>1.2.19</t>
  </si>
  <si>
    <t>Установка групповых металлических почтовых ящиков на 6 отделений</t>
  </si>
  <si>
    <t>1 ящик</t>
  </si>
  <si>
    <t>1.4</t>
  </si>
  <si>
    <t>Балконы, козырьки, лоджии и эркеры</t>
  </si>
  <si>
    <t>1.4.1</t>
  </si>
  <si>
    <t>Ремонт  несущих  конструкций  балконов,  лоджий,  козырьков и  эркеров</t>
  </si>
  <si>
    <t>1.4.1.2</t>
  </si>
  <si>
    <t>Восстановление козырьков</t>
  </si>
  <si>
    <t>кв.м.</t>
  </si>
  <si>
    <t>1.4.3</t>
  </si>
  <si>
    <t>Восстановление (ремонт), модернизация гидроизоляции  балконов, лоджий,   козырьков и  эркеров</t>
  </si>
  <si>
    <t>1.4.3.3</t>
  </si>
  <si>
    <t>Ремонт гидроизоляции козырьков</t>
  </si>
  <si>
    <t>100 кв.м.</t>
  </si>
  <si>
    <t>1.5</t>
  </si>
  <si>
    <t>Перекрытия</t>
  </si>
  <si>
    <t>1.5.10</t>
  </si>
  <si>
    <t>Заделка  неплотностей вокруг  трубопроводов  отопления и   горячего  водоснабжения, проходящих через  перекрытия</t>
  </si>
  <si>
    <t>100 отверстий</t>
  </si>
  <si>
    <t>1.6</t>
  </si>
  <si>
    <t>Полы</t>
  </si>
  <si>
    <t>1.6.1</t>
  </si>
  <si>
    <t>Устранение  повреждений  полов в  местах  общего  пользования  многоквартирного дома</t>
  </si>
  <si>
    <t>1.6.1.1</t>
  </si>
  <si>
    <t>Заделка выбоин в цементных полах</t>
  </si>
  <si>
    <t>1.6.4</t>
  </si>
  <si>
    <t>Ремонт полов</t>
  </si>
  <si>
    <t>1.6.4.5</t>
  </si>
  <si>
    <t>Ремонт поверхности цементных полов</t>
  </si>
  <si>
    <t>1.8</t>
  </si>
  <si>
    <t>Крыши и кровли</t>
  </si>
  <si>
    <t>1.8.1</t>
  </si>
  <si>
    <t>Устранение протечек кровли</t>
  </si>
  <si>
    <t>1.8.1.3</t>
  </si>
  <si>
    <t>Устранение  протечек рулонной кровли</t>
  </si>
  <si>
    <t>1.8.1.3.1</t>
  </si>
  <si>
    <t>Постановка заплат на покрытия из мягкой кровли</t>
  </si>
  <si>
    <t>100 м2 покрытий</t>
  </si>
  <si>
    <t>1.8.2</t>
  </si>
  <si>
    <t>Ремонт, модернизация кровли и крыши</t>
  </si>
  <si>
    <t>1.8.2.2</t>
  </si>
  <si>
    <t>Ремонт, модернизация рулонной кровли</t>
  </si>
  <si>
    <t>1.8.2.2.1</t>
  </si>
  <si>
    <t>Смена мягкой кровли в два слоя отдельными местами</t>
  </si>
  <si>
    <t>100 м2 сменяемого покрытия</t>
  </si>
  <si>
    <t>1.8.7</t>
  </si>
  <si>
    <t>Восстановление (ремонт) дымовых и  вентиляционных труб</t>
  </si>
  <si>
    <t>1.8.7.2</t>
  </si>
  <si>
    <t>Ремонт вентиляционных коробов</t>
  </si>
  <si>
    <t>100 м2 поверхности канала</t>
  </si>
  <si>
    <t>1.8.7.3</t>
  </si>
  <si>
    <t>Прочистка засоренных вентиляционных каналов</t>
  </si>
  <si>
    <t>10 м канала</t>
  </si>
  <si>
    <t>1.8.9</t>
  </si>
  <si>
    <t>Восстановление (ремонт) выходов на крышу</t>
  </si>
  <si>
    <t>1.8.9.1</t>
  </si>
  <si>
    <t>Окраска масляными составами ранее окрашенных металлических лестниц и дверей на крышу за 1 раз</t>
  </si>
  <si>
    <t>100 м2 окрашенной поверхности</t>
  </si>
  <si>
    <t>1.8.9.4</t>
  </si>
  <si>
    <t>Ремонт обыкновенной штукатурки гладких каменных фасадов отдельными местами</t>
  </si>
  <si>
    <t>100 м2 отремонтированной поверхности</t>
  </si>
  <si>
    <t>1.8.10</t>
  </si>
  <si>
    <t>Восстановление (ремонт) парапетов, архитектурных деталей и т.д.</t>
  </si>
  <si>
    <t>1.8.10.2</t>
  </si>
  <si>
    <t>Смена покрытия  парапетов или брандмауэров с обделкой боковых сторон при ширине покрытия до 1,75 м.</t>
  </si>
  <si>
    <t>100 м</t>
  </si>
  <si>
    <t>1.8.13</t>
  </si>
  <si>
    <t>Ремонт, утепление дверей с лестничных площадок на чердак</t>
  </si>
  <si>
    <t>1.8.13.1</t>
  </si>
  <si>
    <t>Масляная окраска ранее окрашенных поверхностей</t>
  </si>
  <si>
    <t>1.8.13.2</t>
  </si>
  <si>
    <t>Восстановление тепловой изоляции дверей</t>
  </si>
  <si>
    <t>100 дверей</t>
  </si>
  <si>
    <t>1.8.13.3</t>
  </si>
  <si>
    <t>Замена обивки дверей стальным листом</t>
  </si>
  <si>
    <t>100  м2 двери</t>
  </si>
  <si>
    <t>1.9</t>
  </si>
  <si>
    <t>Оконные и дверные проемы</t>
  </si>
  <si>
    <t>1.9.1</t>
  </si>
  <si>
    <t>Восстановление (ремонт) дверей в помещениях  общего  пользования</t>
  </si>
  <si>
    <t>1.9.1.1</t>
  </si>
  <si>
    <t>Ремонт дверных полотен со сменой горизонтальных брусков обвязки на два сопряжения</t>
  </si>
  <si>
    <t>100 брусков</t>
  </si>
  <si>
    <t>1.9.1.2</t>
  </si>
  <si>
    <t>Ремонт дверных полотен со сменой вертикальных брусков обвязки на два сопряжения</t>
  </si>
  <si>
    <t>1.9.1.6</t>
  </si>
  <si>
    <t>Ремонт дверных коробок в широких каменных стенах</t>
  </si>
  <si>
    <t>10 коробок</t>
  </si>
  <si>
    <t>1.9.1.8</t>
  </si>
  <si>
    <t>Ремонт порогов шириной 100 мм</t>
  </si>
  <si>
    <t>100 отремонтированных мест</t>
  </si>
  <si>
    <t>1.9.1.11</t>
  </si>
  <si>
    <t>Смена дверных петель при двух сменяемых петлях в полотне</t>
  </si>
  <si>
    <t>10 петель</t>
  </si>
  <si>
    <t>1.9.1.13</t>
  </si>
  <si>
    <t>Смена наличников дверных проемов из мягкой древесины с укреплением шурупами</t>
  </si>
  <si>
    <t>1 п.м. наличника</t>
  </si>
  <si>
    <t>1.9.1.16</t>
  </si>
  <si>
    <t>Смена пружины</t>
  </si>
  <si>
    <t>1 пружина</t>
  </si>
  <si>
    <t>1.9.1.17</t>
  </si>
  <si>
    <t>Смена ручки дверной</t>
  </si>
  <si>
    <t>1 ручка</t>
  </si>
  <si>
    <t>1.9.1.19</t>
  </si>
  <si>
    <t>Смена замков накладных</t>
  </si>
  <si>
    <t>100 замков</t>
  </si>
  <si>
    <t>1.9.1.22</t>
  </si>
  <si>
    <t>Простая масляная окраска дверей</t>
  </si>
  <si>
    <t>1.9.1.24</t>
  </si>
  <si>
    <t>Установка дверного доводчика к металлическим дверям</t>
  </si>
  <si>
    <t>1 доводчик</t>
  </si>
  <si>
    <t>1.9.1.26</t>
  </si>
  <si>
    <t>Установка дверей и заслонок в проемах подвальных и чердачных помещений</t>
  </si>
  <si>
    <t>1 полотно</t>
  </si>
  <si>
    <t>1.9.2</t>
  </si>
  <si>
    <t>Восстановление (ремонт)  окон в  помещениях общего  пользования</t>
  </si>
  <si>
    <t>1.9.2.2</t>
  </si>
  <si>
    <t>Ремонт оконных коробок и колод  в каменных стенах при двух переплетах</t>
  </si>
  <si>
    <t>100 коробок или колод</t>
  </si>
  <si>
    <t>1.9.2.23</t>
  </si>
  <si>
    <t>Смена ручки оконной</t>
  </si>
  <si>
    <t>100 ручек</t>
  </si>
  <si>
    <t>1.9.2.24</t>
  </si>
  <si>
    <t>Смена задвижки</t>
  </si>
  <si>
    <t>100 задвижек</t>
  </si>
  <si>
    <t>1.9.2.25</t>
  </si>
  <si>
    <t>Простая масляная окраска оконных рам</t>
  </si>
  <si>
    <t>1.9.2.28</t>
  </si>
  <si>
    <t>Установка водоотливов с высотой проемов 1-2 м</t>
  </si>
  <si>
    <t>100 кв.м. проемов</t>
  </si>
  <si>
    <t>1.9.2.33</t>
  </si>
  <si>
    <t>Остекление оконным стеклом окон в два переплета открывающихся в одну сторону</t>
  </si>
  <si>
    <t>100 м2 площади проемов по наружному обводу коробок</t>
  </si>
  <si>
    <t>1.9.3</t>
  </si>
  <si>
    <t>Замена  дверей в помещениях  общего  пользования</t>
  </si>
  <si>
    <t>1.9.3.1</t>
  </si>
  <si>
    <t>Замена одностворных дверей на врезных шпонках</t>
  </si>
  <si>
    <t>1.9.4</t>
  </si>
  <si>
    <t>Замена окон в помещениях общего пользования</t>
  </si>
  <si>
    <t>1.9.4.3</t>
  </si>
  <si>
    <t>Смена створок оконных переплетов широких составных коробок</t>
  </si>
  <si>
    <t>1 створка</t>
  </si>
  <si>
    <t>1.9.7</t>
  </si>
  <si>
    <t>Замена оконных и балконных блоков на пластиковые</t>
  </si>
  <si>
    <t>1.9.7.3</t>
  </si>
  <si>
    <t>Замена поворотных (откидных, поворотно-откидных) окон на пластиковые с площадью проема до 2 кв.м. одностворчатые</t>
  </si>
  <si>
    <t>1.10</t>
  </si>
  <si>
    <t>Лестницы</t>
  </si>
  <si>
    <t>1.10.3</t>
  </si>
  <si>
    <t>Ремонт  ограждений,  поручней и  предохранительных  сеток</t>
  </si>
  <si>
    <t>1.10.3.1</t>
  </si>
  <si>
    <t>Ремонт металлических лестничных решеток</t>
  </si>
  <si>
    <t>100 м решетки</t>
  </si>
  <si>
    <t>1.10.3.2</t>
  </si>
  <si>
    <t>Укрепление стоек металлических решеток ограждения  лестниц и площадок</t>
  </si>
  <si>
    <t>100 укрепляемых  стоек</t>
  </si>
  <si>
    <t>1.10.4</t>
  </si>
  <si>
    <t>Ремонт,  замена  перил</t>
  </si>
  <si>
    <t>1.10.4.1</t>
  </si>
  <si>
    <t>Смена отдельных частей поручней</t>
  </si>
  <si>
    <t>1.10.4.1.1</t>
  </si>
  <si>
    <t>Смена прямых  частей поручней</t>
  </si>
  <si>
    <t>1.10.5</t>
  </si>
  <si>
    <t>Окраска  металлических  элементов  лестниц</t>
  </si>
  <si>
    <t>1.10.5.1</t>
  </si>
  <si>
    <t>Окраска масляными составами ранее окрашенных металлических решеток  без рельефа за 1 раз</t>
  </si>
  <si>
    <t xml:space="preserve"> 100 м2 окрашиваемой поверхности</t>
  </si>
  <si>
    <t>1.10.7</t>
  </si>
  <si>
    <t>Прочие работы по ремонту лестниц</t>
  </si>
  <si>
    <t>1.10.7.1</t>
  </si>
  <si>
    <t>Окрашивание масляными составами торцов лестничных маршей и площадок</t>
  </si>
  <si>
    <t>1.10.7.2</t>
  </si>
  <si>
    <t>Окрашивание масляными составами деревянных поручней</t>
  </si>
  <si>
    <t>100  м поручня</t>
  </si>
  <si>
    <t>1.10.7.3</t>
  </si>
  <si>
    <t>Заделка выбоин в каменных ступенях</t>
  </si>
  <si>
    <t>100 м2 заделанной поверхности</t>
  </si>
  <si>
    <t>2.1</t>
  </si>
  <si>
    <t>Система теплоснабжения</t>
  </si>
  <si>
    <t>2.1.2</t>
  </si>
  <si>
    <t>Ремонт,  модернизация внутридомовых отопительных сетей</t>
  </si>
  <si>
    <t>2.1.2.2</t>
  </si>
  <si>
    <t>Смена отдельных участков трубопроводов из стальных электросварных труб</t>
  </si>
  <si>
    <t>2.1.2.2.2</t>
  </si>
  <si>
    <t>Смена отдельных участков трубопроводов из стальных электросварных труб   диаметром 50 мм</t>
  </si>
  <si>
    <t>100 м трубопровода</t>
  </si>
  <si>
    <t>2.1.2.2.5</t>
  </si>
  <si>
    <t>Смена отдельных участков трубопроводов из стальных электросварных труб диаметром 100 мм</t>
  </si>
  <si>
    <t>2.1.3</t>
  </si>
  <si>
    <t>Ремонт,  промывка  отопительных  элементов</t>
  </si>
  <si>
    <t>2.1.3.1</t>
  </si>
  <si>
    <t>Смена радиаторных блоков</t>
  </si>
  <si>
    <t>2.1.3.1.3</t>
  </si>
  <si>
    <t>Смена радиаторных блоков, вес радиаторного блока свыше 80 до 160 кг</t>
  </si>
  <si>
    <t>100 радиаторных блоков</t>
  </si>
  <si>
    <t>2.1.3.5</t>
  </si>
  <si>
    <t>Прочистка и промывка отопительных приборов</t>
  </si>
  <si>
    <t>2.1.3.5.1</t>
  </si>
  <si>
    <t>Прочистка и промывка отопительных приборов радиаторов весом до 80 кг внутри здания</t>
  </si>
  <si>
    <t>100 приборов</t>
  </si>
  <si>
    <t>2.1.5</t>
  </si>
  <si>
    <t>Восстановление теплоизоляции  систем  теплоснабжения</t>
  </si>
  <si>
    <t>2.1.5.3</t>
  </si>
  <si>
    <t>Восстановление разрушенной тепловой изоляции</t>
  </si>
  <si>
    <t>2.1.5.3.3</t>
  </si>
  <si>
    <t>Восстановление разрушенной тепловой изоляции минераловатными матами</t>
  </si>
  <si>
    <t>100 м2 восстановленного участка</t>
  </si>
  <si>
    <t>2.1.6</t>
  </si>
  <si>
    <t>Ремонт или  замена  неисправных  приборов  учета и  регулирования</t>
  </si>
  <si>
    <t>2.1.6.1</t>
  </si>
  <si>
    <t>Ремонт прибора учета</t>
  </si>
  <si>
    <t>прибор</t>
  </si>
  <si>
    <t>2.1.8</t>
  </si>
  <si>
    <t>Ремонт  насосов,  магистральной запорной арматуры,  автоматических устройств</t>
  </si>
  <si>
    <t>2.1.8.4</t>
  </si>
  <si>
    <t>Смена параллельной задвижки</t>
  </si>
  <si>
    <t>2.1.8.4.1</t>
  </si>
  <si>
    <t>Смена параллельной задвижки,  диаметром до 100 мм</t>
  </si>
  <si>
    <t>2.1.8.5</t>
  </si>
  <si>
    <t>Снятие, прочистка и установка параллельной задвижки</t>
  </si>
  <si>
    <t>2.1.8.5.1</t>
  </si>
  <si>
    <t>Снятие, прочистка и установка параллельной задвижки диаметром  100 мм</t>
  </si>
  <si>
    <t>2.1.8.8</t>
  </si>
  <si>
    <t>Смена вентиля</t>
  </si>
  <si>
    <t>2.1.8.8.1</t>
  </si>
  <si>
    <t>Смена вентиля диаметром до 25 мм</t>
  </si>
  <si>
    <t>100 вентилей</t>
  </si>
  <si>
    <t>2.2</t>
  </si>
  <si>
    <t>Системы холодного и горячего водоснабжения</t>
  </si>
  <si>
    <t>2.2.1</t>
  </si>
  <si>
    <t>Ремонт,  замена  внутридомовых сетей водоснабжения</t>
  </si>
  <si>
    <t>2.2.1.2</t>
  </si>
  <si>
    <t>Смена отдельных участков трубопроводов  водоснабжения из стальных водогазопроводных оцинкованных труб при соединении труб  на сварке</t>
  </si>
  <si>
    <t>2.2.1.2.2</t>
  </si>
  <si>
    <t>Смена отдельных участков трубопроводов  водоснабжения из стальных водогазопроводных оцинкованных труб диаметром 50 мм</t>
  </si>
  <si>
    <t>100 м трубопроводов</t>
  </si>
  <si>
    <t>2.2.1.6</t>
  </si>
  <si>
    <t>Временная заделка свищей и трещин на внутренних трубопроводах и стояках</t>
  </si>
  <si>
    <t>2.2.1.6.1</t>
  </si>
  <si>
    <t>Временная заделка свищей и трещин на внутренних трубопроводах и стояках при диаметре трубопровода до 50 мм</t>
  </si>
  <si>
    <t>100 мест</t>
  </si>
  <si>
    <t>2.2.1.7</t>
  </si>
  <si>
    <t>Смена сгонов у трубопроводов</t>
  </si>
  <si>
    <t>2.2.1.7.3</t>
  </si>
  <si>
    <t>Смена сгонов у трубопроводов диаметром до 50 мм</t>
  </si>
  <si>
    <t>100 сгонов</t>
  </si>
  <si>
    <t>2.2.1.8</t>
  </si>
  <si>
    <t>Уплотнение сгонов</t>
  </si>
  <si>
    <t>2.2.1.8.3</t>
  </si>
  <si>
    <t>Уплотнение сгонов с применением льняной пряди или асбестового шнура (без разборки сгонов) диаметром до 50 мм</t>
  </si>
  <si>
    <t>1 сгон</t>
  </si>
  <si>
    <t>2.2.2</t>
  </si>
  <si>
    <t>Ремонт, замена, проверка приборов учета воды</t>
  </si>
  <si>
    <t>2.2.2.1</t>
  </si>
  <si>
    <t>Ремонт приборов учета воды</t>
  </si>
  <si>
    <t>2.2.2.1.2</t>
  </si>
  <si>
    <t>Ремонт приборов учета воды условным диаметром 25-40 мм</t>
  </si>
  <si>
    <t>Счетчик воды</t>
  </si>
  <si>
    <t>2.2.2.1.5</t>
  </si>
  <si>
    <t xml:space="preserve">Замена преобразователя давления </t>
  </si>
  <si>
    <t>1 преобразователь</t>
  </si>
  <si>
    <t>2.2.2.1.6</t>
  </si>
  <si>
    <t>Обслуживание преобразователя давления</t>
  </si>
  <si>
    <t>1  преобразователь давления</t>
  </si>
  <si>
    <t>2.2.2.1.7</t>
  </si>
  <si>
    <t>Обслуживание термопреобразователя</t>
  </si>
  <si>
    <t>1  термопреобразователь</t>
  </si>
  <si>
    <t>2.2.2.1.8</t>
  </si>
  <si>
    <t>Обслуживание преобразователя расхода до 50 мм</t>
  </si>
  <si>
    <t>1 преобразователь расхода</t>
  </si>
  <si>
    <t>2.2.4</t>
  </si>
  <si>
    <t>Теплоизоляция сетей  горячего  водоснабжения</t>
  </si>
  <si>
    <t>100 м2 утепленного участка</t>
  </si>
  <si>
    <t>2.2.5</t>
  </si>
  <si>
    <t>Окраска  сетей и  устройств  горячего  водоснабжения</t>
  </si>
  <si>
    <t>2.2.5.1</t>
  </si>
  <si>
    <t>Окраска масляными составами ранее окрашенных поверхностей стальных труб</t>
  </si>
  <si>
    <t>2.2.5.1.1</t>
  </si>
  <si>
    <t>Окраска масляными составами ранее окрашенных поверхностей  стальных труб горячего водоснабжения за 1 раз</t>
  </si>
  <si>
    <t>2.2.6</t>
  </si>
  <si>
    <t>Ремонт оборудования, приборов и арматуры водопроводной сети общего пользования</t>
  </si>
  <si>
    <t>2.2.6.2</t>
  </si>
  <si>
    <t>Смена вентилей и клапанов обратных муфтовых диаметром до 32  мм</t>
  </si>
  <si>
    <t>2.2.6.5</t>
  </si>
  <si>
    <t>Смена задвижек диаметром до 100 мм</t>
  </si>
  <si>
    <t>2.3</t>
  </si>
  <si>
    <t>Система водоотведения</t>
  </si>
  <si>
    <t>2.3.1</t>
  </si>
  <si>
    <t>Смена отдельных участков трубопроводов канализации из полиэтиленовых труб высокой плотности</t>
  </si>
  <si>
    <t>2.3.1.2</t>
  </si>
  <si>
    <t>Смена горизонтальных участков трубопроводов канализации из полиэтиленовых труб высокой плотности диаметром 100 мм</t>
  </si>
  <si>
    <t>2.3.1.4</t>
  </si>
  <si>
    <t>Смена вертикальных участков трубопроводов канализации из полиэтиленовых труб высокой плотности диаметром 100 мм</t>
  </si>
  <si>
    <t>2.3.2</t>
  </si>
  <si>
    <t>Смена отдельных участков внутренних чугунных канализационных труб и выпусков</t>
  </si>
  <si>
    <t>2.3.2.2</t>
  </si>
  <si>
    <t>Смена отдельных участков чугунных труб и  внутренних чугунных канализационных выпусков при диаметре канализационного выпуска 100 мм</t>
  </si>
  <si>
    <t>2.3.3</t>
  </si>
  <si>
    <t>Подчеканка раструбов канализационных труб</t>
  </si>
  <si>
    <t>2.3.3.3</t>
  </si>
  <si>
    <t>Подчеканка раструбов чугунных канализационных труб</t>
  </si>
  <si>
    <t>2.3.3.3.3</t>
  </si>
  <si>
    <t>Подчеканка раструбов  чугунных  канализационных труб диаметром до 100 мм</t>
  </si>
  <si>
    <t>100  раструбов</t>
  </si>
  <si>
    <t>2.3.4</t>
  </si>
  <si>
    <t>Устранение засоров внутренних канализационных трубопроводов</t>
  </si>
  <si>
    <t>100 м трубы</t>
  </si>
  <si>
    <t>2.3.5</t>
  </si>
  <si>
    <t>Заделка стыков соединений стояков внутренних водостоков</t>
  </si>
  <si>
    <t>100 соединений</t>
  </si>
  <si>
    <t>2.3.7</t>
  </si>
  <si>
    <t>Набивка сальников компенсационных патрубков на стояках внутренних водостоков</t>
  </si>
  <si>
    <t>100 патрубков</t>
  </si>
  <si>
    <t>2.3.10</t>
  </si>
  <si>
    <t>Прокладка внутренних трубопроводов канализации из полипропиленовых труб</t>
  </si>
  <si>
    <t>2.3.10.2</t>
  </si>
  <si>
    <t>Прокладка внутренних трубопроводов канализации из полипропиленовых труб диаметром 110 мм</t>
  </si>
  <si>
    <t>2.4</t>
  </si>
  <si>
    <t>Система газоснабжения</t>
  </si>
  <si>
    <t>2.4.1</t>
  </si>
  <si>
    <t>Ремонт внутридомовых сетей  газоснабжения</t>
  </si>
  <si>
    <t>2.4.1.1</t>
  </si>
  <si>
    <t>Техническое обслуживание внутридомовых газопроводов</t>
  </si>
  <si>
    <t>2.4.1.1.3</t>
  </si>
  <si>
    <t>Техническое обслуживание внутридомовых газопроводов диаметром 50-75 мм</t>
  </si>
  <si>
    <t>100 пог. м.</t>
  </si>
  <si>
    <t>2.4.1.2</t>
  </si>
  <si>
    <t>Устранение неплотности соединений газопровода</t>
  </si>
  <si>
    <t>2.4.1.2.3</t>
  </si>
  <si>
    <t>Устранение неплотности соединений газопровода диаметром 32 мм</t>
  </si>
  <si>
    <t>1 соединение</t>
  </si>
  <si>
    <t>2.4.1.2.5</t>
  </si>
  <si>
    <t>Устранение неплотности соединений газопровода диаметром 50 мм</t>
  </si>
  <si>
    <t>2.4.1.4</t>
  </si>
  <si>
    <t>Ремонт неисправного участка газопровода</t>
  </si>
  <si>
    <t>2.4.1.4.2</t>
  </si>
  <si>
    <t>Ремонт неисправного участка газопровода диаметром 25 и 32 мм</t>
  </si>
  <si>
    <t>1 участок</t>
  </si>
  <si>
    <t>2.4.1.4.4</t>
  </si>
  <si>
    <t>Ремонт неисправного участка газопровода диаметром 50 мм</t>
  </si>
  <si>
    <t>2.4.1.5</t>
  </si>
  <si>
    <t>Проверка работоспособности и смазка отключающих устройств</t>
  </si>
  <si>
    <t>1 устройство</t>
  </si>
  <si>
    <t>2.4.2</t>
  </si>
  <si>
    <t>Внутридомовое и (или) внутриквартирное газовое оборудование</t>
  </si>
  <si>
    <t>2.4.2.3</t>
  </si>
  <si>
    <t>Визуальная проверка (осмотр) газового оборудования</t>
  </si>
  <si>
    <t>1 оборудование</t>
  </si>
  <si>
    <t>2.4.2.4</t>
  </si>
  <si>
    <t>Проверка герметичности соединений и отключающих устройств</t>
  </si>
  <si>
    <t>2.4.2.6</t>
  </si>
  <si>
    <t>Проверка работоспособности устройств, позволяющих автоматически отключить подачу газа при отклонении контролируемых параметров за допустимые пределы, их наладка и регулировка</t>
  </si>
  <si>
    <t>2.4.2.9</t>
  </si>
  <si>
    <t>Техническое обслуживание внутридомового газового оборудования домовладений и многоквартирных домов</t>
  </si>
  <si>
    <t>2.4.2.9.2</t>
  </si>
  <si>
    <t>Проверка герметичности внутридомового газопровода и технологических устройств на нем при количестве приборов на одном стояке 6-10 шт.</t>
  </si>
  <si>
    <t>стояк</t>
  </si>
  <si>
    <t>2.4.2.9.5</t>
  </si>
  <si>
    <t>Проверка на герметичность фланцевых, резьбовых соединений и сварных стыков на газопроводе в подъезде здания при диаметре до 32 мм</t>
  </si>
  <si>
    <t>10 шт.</t>
  </si>
  <si>
    <t>2.4.2.9.7</t>
  </si>
  <si>
    <t>Проверка на герметичность фланцевых, резьбовых соединений и сварных стыков на газопроводе в подъезде здания при диаметре 41 - 50 мм</t>
  </si>
  <si>
    <t>2.4.2.9.8</t>
  </si>
  <si>
    <t>Проверка герметичности фасадного газопровода</t>
  </si>
  <si>
    <t>м</t>
  </si>
  <si>
    <t>2.4.2.9.9</t>
  </si>
  <si>
    <t>Техническое обслуживание внутриквартирной газовой разводки</t>
  </si>
  <si>
    <t>шт.</t>
  </si>
  <si>
    <t>2.4.2.9.12</t>
  </si>
  <si>
    <t>Обследование состояния изоляционного покрытия стального подземного газопровода приборным методом без вскрытия грунта</t>
  </si>
  <si>
    <t>км</t>
  </si>
  <si>
    <t>2.4.2.10</t>
  </si>
  <si>
    <t>Проверка подвального помещения на загазованность</t>
  </si>
  <si>
    <t>1 помещение</t>
  </si>
  <si>
    <t>2.5</t>
  </si>
  <si>
    <t>Внутридомовое электро-, радио- и телеоборудование</t>
  </si>
  <si>
    <t>2.5.1</t>
  </si>
  <si>
    <t>Ремонт,  замена  шкафов  вводных и  вводно-распределительных устройств</t>
  </si>
  <si>
    <t>2.5.1.1</t>
  </si>
  <si>
    <t>Замена пакетных переключателей вводно-распределительных устройств и шкафов</t>
  </si>
  <si>
    <t>1 переключатель</t>
  </si>
  <si>
    <t>2.5.1.4</t>
  </si>
  <si>
    <t>Замена предохранителя</t>
  </si>
  <si>
    <t>1 предохранитель</t>
  </si>
  <si>
    <t>2.5.1.6</t>
  </si>
  <si>
    <t>Ремонт трансформатора</t>
  </si>
  <si>
    <t>1 трансформатор</t>
  </si>
  <si>
    <t>2.5.4</t>
  </si>
  <si>
    <t>Ремонт, замена  внутридомовых электрических сетей</t>
  </si>
  <si>
    <t>1000 пог.м.</t>
  </si>
  <si>
    <t>2.5.5</t>
  </si>
  <si>
    <t>Ремонт, замена этажных  щитков и  шкафов</t>
  </si>
  <si>
    <t>2.5.5.2</t>
  </si>
  <si>
    <t>Ремонт щитков</t>
  </si>
  <si>
    <t>1 щит</t>
  </si>
  <si>
    <t>2.5.6</t>
  </si>
  <si>
    <t>Ремонт,  замена  приборов  учета и регулирования общего   пользования</t>
  </si>
  <si>
    <t>2.5.6.7</t>
  </si>
  <si>
    <t>Замена трехфазного счетчика (прибора учета) электрической энергии, включенного через измерительные трансформаторы тока</t>
  </si>
  <si>
    <t>1 счетчик</t>
  </si>
  <si>
    <t>2.5.6.9</t>
  </si>
  <si>
    <t>Обслуживание трехфазных счетчиков электроэнергии</t>
  </si>
  <si>
    <t>100 счетчиков</t>
  </si>
  <si>
    <t>2.5.7</t>
  </si>
  <si>
    <t>Ремонт,  замена  осветительных установок  помещений   общего  пользования</t>
  </si>
  <si>
    <t>2.5.7.1</t>
  </si>
  <si>
    <t>Замена выключателя</t>
  </si>
  <si>
    <t>1 выключатель</t>
  </si>
  <si>
    <t>2.5.7.2</t>
  </si>
  <si>
    <t>Замена светильника с лампами накаливания или энергосберегающими лампами</t>
  </si>
  <si>
    <t>1 светильник</t>
  </si>
  <si>
    <t>2.5.10</t>
  </si>
  <si>
    <t>Смена розеток</t>
  </si>
  <si>
    <t>2.6</t>
  </si>
  <si>
    <t>Подготовка многоквартирного дома к сезонной эксплуатации, проведение технических осмотров</t>
  </si>
  <si>
    <t>2.6.3</t>
  </si>
  <si>
    <t>Замена разбитых стекол окон и дверей в помещениях общего пользования</t>
  </si>
  <si>
    <t>2.6.3.5</t>
  </si>
  <si>
    <t>Смена стекол на штапиках без замазки</t>
  </si>
  <si>
    <t>100 м фальца</t>
  </si>
  <si>
    <t>2.6.11</t>
  </si>
  <si>
    <t>Проведение технических осмотров и устранение незначительных неисправностей в  системах водоснабжения и  водоотведения</t>
  </si>
  <si>
    <t>2.6.11.1</t>
  </si>
  <si>
    <t>Осмотр водопровода, канализации и горячего водоснабжения</t>
  </si>
  <si>
    <t>100 квартир</t>
  </si>
  <si>
    <t>2.6.11.4</t>
  </si>
  <si>
    <t>Проверка исправности  канализационных  вытяжек</t>
  </si>
  <si>
    <t>1000 кв.м. общей площади</t>
  </si>
  <si>
    <t>2.6.12</t>
  </si>
  <si>
    <t>Проведение технических осмотров и устранение незначительных неисправностей в  системах вентиляции</t>
  </si>
  <si>
    <t>2.6.12.1</t>
  </si>
  <si>
    <t>Проверка наличия тяги в  дымовентиляционных каналах</t>
  </si>
  <si>
    <t>2.6.12.2</t>
  </si>
  <si>
    <t>Проведение технических осмотров и устранение незначительных неисправностей в системе вентиляции</t>
  </si>
  <si>
    <t>2.6.13</t>
  </si>
  <si>
    <t>Проведение технических осмотров и устранение незначительных неисправностей в   электротехнических устройствах</t>
  </si>
  <si>
    <t>2.6.13.1</t>
  </si>
  <si>
    <t>Осмотр  электросети, арматуры, электрооборудования на лестничных клетках</t>
  </si>
  <si>
    <t>100 лестничных площадок</t>
  </si>
  <si>
    <t>2.6.13.3</t>
  </si>
  <si>
    <t>Проверка изоляции электропроводки и ее укрепление</t>
  </si>
  <si>
    <t>2.6.13.4</t>
  </si>
  <si>
    <t>Проверка заземления оболочки электрокабеля</t>
  </si>
  <si>
    <t>2.6.13.5</t>
  </si>
  <si>
    <t>Замеры сопротивления изоляции проводов</t>
  </si>
  <si>
    <t xml:space="preserve">измерение 1         </t>
  </si>
  <si>
    <t>2.6.14</t>
  </si>
  <si>
    <t>Проведение технических осмотров и устранение незначительных неисправностей в  системе   теплоснабжения</t>
  </si>
  <si>
    <t>2.6.14.1</t>
  </si>
  <si>
    <t>Осмотр системы центрального отопления</t>
  </si>
  <si>
    <t>2.6.14.1.1</t>
  </si>
  <si>
    <t>Осмотр внутриквартирных устройств системы центрального отопления</t>
  </si>
  <si>
    <t>2.6.14.1.2</t>
  </si>
  <si>
    <t>Осмотр устройства системы центрального отопления в чердачных и подвальных помещениях</t>
  </si>
  <si>
    <t>1000 м2 осматриваемых помещений</t>
  </si>
  <si>
    <t>2.6.14.2</t>
  </si>
  <si>
    <t>Регулировка и наладка систем отопления</t>
  </si>
  <si>
    <t>1 здание</t>
  </si>
  <si>
    <t>2.6.14.3</t>
  </si>
  <si>
    <t>Гидравлическое испытание трубопроводов систем центрального отопления (расконсервация)</t>
  </si>
  <si>
    <t>2.6.14.3.5</t>
  </si>
  <si>
    <t>Рабочая проверка системы в целом при диаметре трубопровода до 100 мм</t>
  </si>
  <si>
    <t>2.6.14.3.10</t>
  </si>
  <si>
    <t>Проверка на прогрев отопительных приборов с регулировкой</t>
  </si>
  <si>
    <t>2.6.14.4</t>
  </si>
  <si>
    <t>Промывка трубопроводов системы центрального отопления</t>
  </si>
  <si>
    <t>2.6.14.4.1</t>
  </si>
  <si>
    <t>Промывка трубопроводов системы центрального отопления до 50 мм</t>
  </si>
  <si>
    <t>10 м трубопровода (100 м3 здания)</t>
  </si>
  <si>
    <t>2.6.14.5</t>
  </si>
  <si>
    <t>Устранение незначительных неисправностей в  системе   теплоснабжения</t>
  </si>
  <si>
    <t>2.6.14.5.5</t>
  </si>
  <si>
    <t>Ликвидация воздушных пробок в системе отопления</t>
  </si>
  <si>
    <t>2.6.14.5.5.1</t>
  </si>
  <si>
    <t>Ликвидация воздушных пробок в стояке системы отопления</t>
  </si>
  <si>
    <t>100 стояков</t>
  </si>
  <si>
    <t>2.6.14.5.5.2</t>
  </si>
  <si>
    <t>Ликвидация воздушных пробок в радиаторном блоке</t>
  </si>
  <si>
    <t>2.6.14.5.7</t>
  </si>
  <si>
    <t>Мелкий ремонт изоляции</t>
  </si>
  <si>
    <t>2.6.14.5.7.3</t>
  </si>
  <si>
    <t>Мелкий ремонт изоляции трубопроводов при диаметре 100 мм</t>
  </si>
  <si>
    <t>2.6.15</t>
  </si>
  <si>
    <t>Проверка и ремонт коллективных приборов  учета</t>
  </si>
  <si>
    <t>2.6.15.1</t>
  </si>
  <si>
    <t>Проверка и обслуживание приборов учета воды диаметром 25-40 мм</t>
  </si>
  <si>
    <t>2.6.15.1.1</t>
  </si>
  <si>
    <t>Визуальный осмотр узла учета и проверка наличия и нарушения пломб (прибор учета воды диаметром 25-40 мм)</t>
  </si>
  <si>
    <t>1 прибор учета</t>
  </si>
  <si>
    <t>2.6.15.1.2</t>
  </si>
  <si>
    <t>Снятие и запись показаний с вычислителя в журнал (прибор учета воды диаметром 25-40 мм)</t>
  </si>
  <si>
    <t>2.6.15.1.4</t>
  </si>
  <si>
    <t>Проверка работоспособности запорной арматуры и очистка фильтров (приборов учета воды диаметром 25-40 мм)</t>
  </si>
  <si>
    <t>1 фильтр</t>
  </si>
  <si>
    <t>2.6.15.1.6</t>
  </si>
  <si>
    <t>Запуск воды с общего вентиля к счетчику (приборов учета воды диаметром 25-40 мм)</t>
  </si>
  <si>
    <t>2.6.15.1.7</t>
  </si>
  <si>
    <t>При отказе или неисправной работе прибора учета воды диаметром 25-40 мм - поиск неисправностей</t>
  </si>
  <si>
    <t>2.6.15.1.8</t>
  </si>
  <si>
    <t>Проверка работоспособности водозапорной арматуры приборов учета воды диаметром 25-40 мм</t>
  </si>
  <si>
    <t>2.6.15.4</t>
  </si>
  <si>
    <t>Проверка и обслуживание коллективных узлов учета тепловой энергии диаметром 50-250 мм</t>
  </si>
  <si>
    <t>2.6.15.4.1</t>
  </si>
  <si>
    <t>Визуальный осмотр и проверка наличия и нарушения пломб (узел учета тепловой энергии диаметром 50-250 мм)</t>
  </si>
  <si>
    <t>1 узел учета</t>
  </si>
  <si>
    <t>2.6.15.4.2</t>
  </si>
  <si>
    <t>Снятие и запись показаний с вычислителя в журнал (узел учета тепловой энергии диаметром 50-250 мм)</t>
  </si>
  <si>
    <t>2.6.15.4.4</t>
  </si>
  <si>
    <t>Проверка работоспособности запорной арматуры и очистка фильтра (узел учета тепловой энергии диаметром 50-250 мм)</t>
  </si>
  <si>
    <t>2.6.15.4.6</t>
  </si>
  <si>
    <t>Запуск воды с общего вентиля к счетчику (узел учета тепловой энергии диаметром 50-250 мм)</t>
  </si>
  <si>
    <t>2.6.15.4.7</t>
  </si>
  <si>
    <t>При отказе или неисправной работе теплосчетчика - поиск неисправностей (узел учета тепловой энергии диаметром 50-250 мм)</t>
  </si>
  <si>
    <t>2.6.15.4.8</t>
  </si>
  <si>
    <t>Выборочная метрологическая поверка теплосчетчиков</t>
  </si>
  <si>
    <t>2.6.15.4.8.1</t>
  </si>
  <si>
    <t>Проверка работоспособности водозапорной арматуры (выборочная метрологическая поверка теплосчетчиков диаметром 50-250 мм)</t>
  </si>
  <si>
    <t>2.6.15.4.8.2</t>
  </si>
  <si>
    <t>Профилактические работы (выборочная метрологическая поверка теплосчетчиков диаметром 50-250 мм)</t>
  </si>
  <si>
    <t>2.6.15.4.8.3</t>
  </si>
  <si>
    <t>Поверка (настройка) тепловычислителя (выборочная метрологическая поверка теплосчетчиков диаметром 50-250 мм)</t>
  </si>
  <si>
    <t>2.6.15.4.8.4</t>
  </si>
  <si>
    <t>Съем данных с тепловычислителя с помощью переносного компьютера, адаптера (выборочная метрологическая поверка теплосчетчиков диаметром 50-250 мм)</t>
  </si>
  <si>
    <t>2.6.15.4.8.5</t>
  </si>
  <si>
    <t>Обсчет данных, оформление справок, распечатка архивов данных (выборочная метрологическая поверка теплосчетчиков диаметром 50-250 мм)</t>
  </si>
  <si>
    <t>2.6.15.5</t>
  </si>
  <si>
    <t>Установка и снятие (монтаж, демонтаж) прибора учета тепловой энергии</t>
  </si>
  <si>
    <t>2.6.15.5.3</t>
  </si>
  <si>
    <t>Снятие (демонтаж) прибора учета тепловой энергии, диаметром от 50 до 100 мм</t>
  </si>
  <si>
    <t>1 прибор</t>
  </si>
  <si>
    <t>2.6.15.5.4</t>
  </si>
  <si>
    <t>Установка (монтаж) прибора учета тепловой энергии, диаметром от 50 до 100 мм</t>
  </si>
  <si>
    <t>2.7</t>
  </si>
  <si>
    <t>Устранение аварии и выполнение заявок населения</t>
  </si>
  <si>
    <t>2.7.1</t>
  </si>
  <si>
    <t>Устранение аварии на внутридомовых инженерных сетях и выполнение заявок населения (в домах, оборудованных газовыми плитами)</t>
  </si>
  <si>
    <t>2.7.1.2</t>
  </si>
  <si>
    <t>Устранение аварии на внутридомовых инженерных сетях при сроке эксплуатации многоквартирного дома от 11 до 30  лет</t>
  </si>
  <si>
    <t>1000 м2  общей площади жилых помещений, оборудованных газовыми плитами (в год для одной смены)</t>
  </si>
  <si>
    <t>2.10</t>
  </si>
  <si>
    <t>Лифты</t>
  </si>
  <si>
    <t>2.10.1</t>
  </si>
  <si>
    <t>Содержание лифтов</t>
  </si>
  <si>
    <t>2.10.1.2</t>
  </si>
  <si>
    <t>Ежедневное обслуживание</t>
  </si>
  <si>
    <t>2.10.1.2.2</t>
  </si>
  <si>
    <t>Ежедневное обслуживание лифтов в многоквартирных домах высотой 6-9 этажей</t>
  </si>
  <si>
    <t>1 лифт</t>
  </si>
  <si>
    <t>2.10.1.3</t>
  </si>
  <si>
    <t>Периодические осмотры</t>
  </si>
  <si>
    <t>2.10.1.3.1</t>
  </si>
  <si>
    <t>Проверка двухсторонней переговорной связи и сигналов неисправности лифта из кабины</t>
  </si>
  <si>
    <t>1 кабина</t>
  </si>
  <si>
    <t>2.10.1.3.2</t>
  </si>
  <si>
    <t>Проверка машинного помещения</t>
  </si>
  <si>
    <t>1 машинное помещение</t>
  </si>
  <si>
    <t>2.10.1.3.3</t>
  </si>
  <si>
    <t>Проверка санитарного состояния крыши кабины и приямка шахты</t>
  </si>
  <si>
    <t>2.10.1.3.4</t>
  </si>
  <si>
    <t>Проверка освещения лифта</t>
  </si>
  <si>
    <t>2.10.1.3.5</t>
  </si>
  <si>
    <t>Проверка точности остановок и работы лифта по вызовам</t>
  </si>
  <si>
    <t>1 этаж</t>
  </si>
  <si>
    <t>2.10.1.3.6</t>
  </si>
  <si>
    <t>Проверка точности остановок и работы лифта по приказам</t>
  </si>
  <si>
    <t>2.10.1.3.7</t>
  </si>
  <si>
    <t>Проверка ограждения и надежности запирания дверей шахты (ДШ)</t>
  </si>
  <si>
    <t>2.10.1.3.8</t>
  </si>
  <si>
    <t>Проверка автоматических замков дверей шахты и кабины лифта с раздвижными дверями</t>
  </si>
  <si>
    <t>2.10.1.3.9</t>
  </si>
  <si>
    <t>Проверка купе кабины лифта</t>
  </si>
  <si>
    <t>1 купе</t>
  </si>
  <si>
    <t>2.10.1.3.10</t>
  </si>
  <si>
    <t>Проверка подвижного пола кабины</t>
  </si>
  <si>
    <t>1 пол</t>
  </si>
  <si>
    <t>2.10.1.4</t>
  </si>
  <si>
    <t>Техническое обслуживание</t>
  </si>
  <si>
    <t>2.10.1.4.1</t>
  </si>
  <si>
    <t>Техническое обслуживание систем ЛДСС</t>
  </si>
  <si>
    <t>2.10.1.4.1.1</t>
  </si>
  <si>
    <t>Проверка работы  пульта</t>
  </si>
  <si>
    <t>пульт</t>
  </si>
  <si>
    <t>2.10.1.4.1.2</t>
  </si>
  <si>
    <t>Проверка технического состояния подземных трасс ЛДСС</t>
  </si>
  <si>
    <t>1 кабель</t>
  </si>
  <si>
    <t>2.10.1.4.1.3</t>
  </si>
  <si>
    <t>Проверка состояния  диспетчерских систем в лифте</t>
  </si>
  <si>
    <t>2.10.1.4.2</t>
  </si>
  <si>
    <t>Техническое обслуживание лифтов (ТО-1)</t>
  </si>
  <si>
    <t>2.10.1.4.2.1</t>
  </si>
  <si>
    <t>Тормозное устройство</t>
  </si>
  <si>
    <t>1 тормозное устройство</t>
  </si>
  <si>
    <t>2.10.1.4.2.3</t>
  </si>
  <si>
    <t>Шахта</t>
  </si>
  <si>
    <t>2.10.1.4.2.4</t>
  </si>
  <si>
    <t>Двери шахты лифта автоматические</t>
  </si>
  <si>
    <t>2.10.1.4.2.6</t>
  </si>
  <si>
    <t>Ограждение и каркас шахты</t>
  </si>
  <si>
    <t>2.10.1.4.2.7</t>
  </si>
  <si>
    <t>Направляющая кабины или противовеса</t>
  </si>
  <si>
    <t>2.10.1.4.2.8</t>
  </si>
  <si>
    <t>Электромагнит тормозного устройства</t>
  </si>
  <si>
    <t>электромагнит</t>
  </si>
  <si>
    <t>2.10.1.4.2.9</t>
  </si>
  <si>
    <t>Канатоведущий шкив (КВШ)</t>
  </si>
  <si>
    <t>КВШ</t>
  </si>
  <si>
    <t>2.10.1.4.2.10</t>
  </si>
  <si>
    <t>Подвеска кабины</t>
  </si>
  <si>
    <t>подвеска</t>
  </si>
  <si>
    <t>2.10.1.4.2.12</t>
  </si>
  <si>
    <t>Смазывающие</t>
  </si>
  <si>
    <t>смазывающий аппарат</t>
  </si>
  <si>
    <t>2.10.1.4.2.13</t>
  </si>
  <si>
    <t>Ловители</t>
  </si>
  <si>
    <t>1 система</t>
  </si>
  <si>
    <t>2.10.1.4.2.15</t>
  </si>
  <si>
    <t>Пост управления</t>
  </si>
  <si>
    <t>1 башмак</t>
  </si>
  <si>
    <t>2.10.1.4.2.17</t>
  </si>
  <si>
    <t>Кабина лифта</t>
  </si>
  <si>
    <t>2.10.1.4.2.20</t>
  </si>
  <si>
    <t>Привод дверей кабины</t>
  </si>
  <si>
    <t>1 привод</t>
  </si>
  <si>
    <t>2.10.1.4.2.22</t>
  </si>
  <si>
    <t>Канаты тяговые или ограничители скорости</t>
  </si>
  <si>
    <t>2.10.1.4.2.23</t>
  </si>
  <si>
    <t>Смазывающее устройство</t>
  </si>
  <si>
    <t>2.10.1.4.2.25</t>
  </si>
  <si>
    <t>Вызывные аппараты</t>
  </si>
  <si>
    <t>1 аппарат</t>
  </si>
  <si>
    <t>2.10.1.4.2.27</t>
  </si>
  <si>
    <t>Натяжное устройство</t>
  </si>
  <si>
    <t>2.10.1.4.2.28</t>
  </si>
  <si>
    <t>Электроаппараты, установленные в приямке</t>
  </si>
  <si>
    <t>электроаппарат</t>
  </si>
  <si>
    <t>2.10.1.4.2.30</t>
  </si>
  <si>
    <t>Проверка исправности работы ограничителя скорости (ОС)</t>
  </si>
  <si>
    <t>ОС</t>
  </si>
  <si>
    <t>2.10.1.4.3</t>
  </si>
  <si>
    <t>Техническое обслуживание лифтов (ТО-2)</t>
  </si>
  <si>
    <t>2.10.1.4.3.1</t>
  </si>
  <si>
    <t>Электродвигатель главного привода</t>
  </si>
  <si>
    <t>1 электродвигатель</t>
  </si>
  <si>
    <t>2.10.1.4.3.2</t>
  </si>
  <si>
    <t>Редуктор главного привода</t>
  </si>
  <si>
    <t>1 редуктор</t>
  </si>
  <si>
    <t>2.10.1.4.3.3</t>
  </si>
  <si>
    <t>Отводные блоки</t>
  </si>
  <si>
    <t>1 блок</t>
  </si>
  <si>
    <t>2.10.1.4.3.4</t>
  </si>
  <si>
    <t>Шкаф управления лифтом</t>
  </si>
  <si>
    <t>1 шкаф</t>
  </si>
  <si>
    <t>2.10.1.4.3.7</t>
  </si>
  <si>
    <t>Электроаппараты на крыше кабины (КЛ, СПК, ДУСК, ДТО и др.)</t>
  </si>
  <si>
    <t>2.10.1.4.3.8</t>
  </si>
  <si>
    <t>Подвесной кабель</t>
  </si>
  <si>
    <t>2.10.1.4.3.9</t>
  </si>
  <si>
    <t>Подвеска противовеса</t>
  </si>
  <si>
    <t>1 противовес</t>
  </si>
  <si>
    <t>2.10.1.4.3.10</t>
  </si>
  <si>
    <t>Каркас противовеса</t>
  </si>
  <si>
    <t>2.10.1.4.3.11</t>
  </si>
  <si>
    <t>Этажные переключатели</t>
  </si>
  <si>
    <t>этажный переключатель</t>
  </si>
  <si>
    <t>2.10.1.4.3.13</t>
  </si>
  <si>
    <t>Конечный выключатель на лифтах</t>
  </si>
  <si>
    <t>2.10.1.4.3.14</t>
  </si>
  <si>
    <t>Буферное устройство</t>
  </si>
  <si>
    <t>буферное устройство</t>
  </si>
  <si>
    <t>2.10.1.6</t>
  </si>
  <si>
    <t>Текущий ремонт</t>
  </si>
  <si>
    <t>2.10.1.6.2</t>
  </si>
  <si>
    <t>Текущий ремонт лифтов</t>
  </si>
  <si>
    <t>2.10.1.6.2.4</t>
  </si>
  <si>
    <t>Замена тормозной полумуфты лифтовой лебедки</t>
  </si>
  <si>
    <t>1 тормозная полумуфта</t>
  </si>
  <si>
    <t>2.10.1.6.2.33</t>
  </si>
  <si>
    <t>Замена ремня привода дверей</t>
  </si>
  <si>
    <t>2.10.1.6.2.33.1</t>
  </si>
  <si>
    <t>Замена ремня привода дверей лифта грузоподъемностью 320-400 кг</t>
  </si>
  <si>
    <t>1 ремень</t>
  </si>
  <si>
    <t>2.10.3</t>
  </si>
  <si>
    <t>Ремонт оборудования, устройств и конструкций лифта</t>
  </si>
  <si>
    <t>2.10.3.10</t>
  </si>
  <si>
    <t>Ремонт станции управления лифтами на микропроцессорных устройствах и микроэлектронике (с заменой плат) при одиночной работе лифта</t>
  </si>
  <si>
    <t>1 станция</t>
  </si>
  <si>
    <t>2.10.4</t>
  </si>
  <si>
    <t>Техническое освидетельствование лифта</t>
  </si>
  <si>
    <t>2.10.4.1</t>
  </si>
  <si>
    <t>Полное техническое освидетельствование</t>
  </si>
  <si>
    <t>2.10.4.1.1</t>
  </si>
  <si>
    <t>Полное техническое освидетельствование на 2 остановки</t>
  </si>
  <si>
    <t>2.10.4.1.2</t>
  </si>
  <si>
    <t>Полное техническое освидетельствование на каждую дополнительную остановку больше 2-х</t>
  </si>
  <si>
    <t>1 остановка</t>
  </si>
  <si>
    <t>3.1</t>
  </si>
  <si>
    <t>Работы по санитарному содержанию помещений общего пользования, системы мусороудаления и фасадов</t>
  </si>
  <si>
    <t>3.1.1</t>
  </si>
  <si>
    <t>Подметание и мытье полов во всех помещениях  общего пользования, кабинах лифта и их влажная уборка</t>
  </si>
  <si>
    <t>3.1.1.3</t>
  </si>
  <si>
    <t>Подметание и влажная уборка полов во всех помещениях  общего пользования в многоквартирном доме с лифтами без  мусоропроводов</t>
  </si>
  <si>
    <t>3.1.1.3.1</t>
  </si>
  <si>
    <t>Подметание лестничных площадок и маршей</t>
  </si>
  <si>
    <t>3.1.1.3.1.1</t>
  </si>
  <si>
    <t>Подметание лестничных площадок и маршей нижних трех этажей с предварительным их увлажнением (в доме с лифтами без мусоропроводов)</t>
  </si>
  <si>
    <t>100 м2  убираемой  площади</t>
  </si>
  <si>
    <t>3.1.1.3.1.2</t>
  </si>
  <si>
    <t>Подметание лестничных площадок и маршей выше третьего этажа с предварительным их увлажнением  (в доме с лифтами без мусоропроводов)</t>
  </si>
  <si>
    <t>100 м2 убираемой  площади</t>
  </si>
  <si>
    <t>3.1.1.3.1.3</t>
  </si>
  <si>
    <t>Подметание кабин лифтов  с предварительным их увлажнением  (в доме с лифтами без мусоропроводов)</t>
  </si>
  <si>
    <t>100 м2  лифтов</t>
  </si>
  <si>
    <t>3.1.1.3.2</t>
  </si>
  <si>
    <t>Мытье лестничных площадок и маршей</t>
  </si>
  <si>
    <t>3.1.1.3.2.1</t>
  </si>
  <si>
    <t>Мытье  лестничных площадок и маршей нижних трех этажей  (в доме с лифтами без мусоропроводов)</t>
  </si>
  <si>
    <t>3.1.1.3.2.2</t>
  </si>
  <si>
    <t>Мытье  лестничных площадок и маршей  выше третьего этажа  (в доме с лифтами без мусоропроводов)</t>
  </si>
  <si>
    <t>3.1.1.3.2.3</t>
  </si>
  <si>
    <t>Мытье  лифтов  (в доме с лифтами без мусоропроводов)</t>
  </si>
  <si>
    <t>3.1.2</t>
  </si>
  <si>
    <t>Обслуживание мусоропроводов</t>
  </si>
  <si>
    <t>3.1.2.4</t>
  </si>
  <si>
    <t>Мойка сменных мусоросборников</t>
  </si>
  <si>
    <t>3.1.2.4.2</t>
  </si>
  <si>
    <t>Мойка сменных мусоросборников (контейнеров) без шланга</t>
  </si>
  <si>
    <t>100 контейнеров</t>
  </si>
  <si>
    <t>3.1.2.5</t>
  </si>
  <si>
    <t>Дезинфекция мусоросборников</t>
  </si>
  <si>
    <t>3.1.2.5.3</t>
  </si>
  <si>
    <t>Дезинфекция мусоросборников (контейнеров)</t>
  </si>
  <si>
    <t>10 контейнеров</t>
  </si>
  <si>
    <t>3.1.3</t>
  </si>
  <si>
    <t>Протирка пыли  с колпаков  светильников, подоконников в помещениях общего  пользования</t>
  </si>
  <si>
    <t>3.1.3.1</t>
  </si>
  <si>
    <t>Протирка пыли  с колпаков  светильников (в подвалах, на чердаках и лестничных клетках)</t>
  </si>
  <si>
    <t>3.1.3.2</t>
  </si>
  <si>
    <t>Протирка пыли  с подоконников в помещениях общего  пользования</t>
  </si>
  <si>
    <t xml:space="preserve">100 м2 подоконников </t>
  </si>
  <si>
    <t>3.1.4</t>
  </si>
  <si>
    <t>Мытье и протирка дверей и окон в помещениях общего пользования, включая двери  мусорных камер</t>
  </si>
  <si>
    <t>3.1.4.1</t>
  </si>
  <si>
    <t>Мытье и протирка дверей  в помещениях общего пользования</t>
  </si>
  <si>
    <t>100 м2 дверей</t>
  </si>
  <si>
    <t>3.1.4.2</t>
  </si>
  <si>
    <t>Мытье и протирка оконных рам и переплетов в помещениях общего пользования</t>
  </si>
  <si>
    <t>100 м2 оконных рам</t>
  </si>
  <si>
    <t>3.1.4.3</t>
  </si>
  <si>
    <t>Мытье и протирка легкодоступных стекол в окнах  в помещениях общего пользования</t>
  </si>
  <si>
    <t>100 м2 окон</t>
  </si>
  <si>
    <t>3.1.5</t>
  </si>
  <si>
    <t>Уборка чердачного  и подвального помещений</t>
  </si>
  <si>
    <t>3.1.5.2</t>
  </si>
  <si>
    <t>Уборка и транспортировка мусора в установленное место</t>
  </si>
  <si>
    <t>3.1.5.2.1</t>
  </si>
  <si>
    <t>Уборка мусора и транспортировкой мусора до 50 м</t>
  </si>
  <si>
    <t>1 м3  мусора</t>
  </si>
  <si>
    <t>3.1.5.3</t>
  </si>
  <si>
    <t>Очистка чердаков  и подвалов от строительного мусора</t>
  </si>
  <si>
    <t>100 кг строительного мусора</t>
  </si>
  <si>
    <t>3.1.9</t>
  </si>
  <si>
    <t>Влажная протирка элементов лестничных клеток</t>
  </si>
  <si>
    <t>3.1.9.1</t>
  </si>
  <si>
    <t>Влажная протирка почтовых ящиков (с моющим средством)</t>
  </si>
  <si>
    <t>100 кв.м почтовых ящиков</t>
  </si>
  <si>
    <t>3.1.9.3</t>
  </si>
  <si>
    <t>Влажная протирка оконных решеток  (с моющим средством)</t>
  </si>
  <si>
    <t>100 кв.м решеток</t>
  </si>
  <si>
    <t>3.1.9.5</t>
  </si>
  <si>
    <t>Влажная протирка шкафов для электросчетчиков слаботочных устройств  (с моющим средством)</t>
  </si>
  <si>
    <t>100 кв. м шкафов для электросчетчиков слаботочных устройств</t>
  </si>
  <si>
    <t>3.1.9.7</t>
  </si>
  <si>
    <t>Влажная протирка перил лестниц (с моющим средством)</t>
  </si>
  <si>
    <t>100 кв.м. перил лестниц</t>
  </si>
  <si>
    <t>3.1.9.10</t>
  </si>
  <si>
    <t>Влажная протирка стен (с моющим средством)</t>
  </si>
  <si>
    <t>100 кв. м стен</t>
  </si>
  <si>
    <t>3.1.9.11</t>
  </si>
  <si>
    <t>Влажная протирка отопительных приборов (моющим средством)</t>
  </si>
  <si>
    <t>100 кв. м отопительных приборов</t>
  </si>
  <si>
    <t>3.1.9.14</t>
  </si>
  <si>
    <t>Влажная протирка ограждений лифтовых шахт из металлической сетки (моющим средством)</t>
  </si>
  <si>
    <t>100 кв.м ограждений</t>
  </si>
  <si>
    <t>3.2</t>
  </si>
  <si>
    <t>Уборка земельного участка, входящего в состав общего имущества многоквартирного дома</t>
  </si>
  <si>
    <t>3.2.1</t>
  </si>
  <si>
    <t>Подметание  земельного  участка в летний период</t>
  </si>
  <si>
    <t>3.2.1.1</t>
  </si>
  <si>
    <t>Подметание в летний период  земельного участка с усовершенствованным покрытием 1 класса</t>
  </si>
  <si>
    <t>1 000 кв.м. территории</t>
  </si>
  <si>
    <t>3.2.3</t>
  </si>
  <si>
    <t>Уборка и уход за газонами, очистка  урн</t>
  </si>
  <si>
    <t>3.2.3.1</t>
  </si>
  <si>
    <t>Уборка и уход за газонами</t>
  </si>
  <si>
    <t>3.2.3.1.1</t>
  </si>
  <si>
    <t>Уборка газонов средней засоренности от листьев, сучьев, мусора</t>
  </si>
  <si>
    <t>100 000 кв.м. территории</t>
  </si>
  <si>
    <t>3.2.3.1.3</t>
  </si>
  <si>
    <t>Уборка газонов от случайного мусора</t>
  </si>
  <si>
    <t>100 000 м2</t>
  </si>
  <si>
    <t>3.2.3.1.5</t>
  </si>
  <si>
    <t>Стрижка газонов</t>
  </si>
  <si>
    <t>на 100 кв.м.</t>
  </si>
  <si>
    <t>3.2.3.2</t>
  </si>
  <si>
    <t>Содержание урн</t>
  </si>
  <si>
    <t>3.2.3.2.10</t>
  </si>
  <si>
    <t>Очистка опрокидывающихся урн от мусора</t>
  </si>
  <si>
    <t>на 100 урн</t>
  </si>
  <si>
    <t>3.2.4</t>
  </si>
  <si>
    <t>Подрезка деревьев и кустов</t>
  </si>
  <si>
    <t>3.2.4.1</t>
  </si>
  <si>
    <t>Формовочная обрезка деревьев высотой более 5 м</t>
  </si>
  <si>
    <t>100 деревьев</t>
  </si>
  <si>
    <t>3.2.4.6</t>
  </si>
  <si>
    <t>Стрижка живой изгороди</t>
  </si>
  <si>
    <t>1000 кв.м.</t>
  </si>
  <si>
    <t>3.2.5</t>
  </si>
  <si>
    <t>Очистка и текущий ремонт детских и спортивных  площадок, элементов  благоустройства</t>
  </si>
  <si>
    <t>3.2.5.1</t>
  </si>
  <si>
    <t>Уборка детских и спортивных площадок</t>
  </si>
  <si>
    <t>3.2.5.2</t>
  </si>
  <si>
    <t>Окраска</t>
  </si>
  <si>
    <t>3.2.5.2.1</t>
  </si>
  <si>
    <t>Окраска скамьи без спинки с металлическими опорами</t>
  </si>
  <si>
    <t>скамья</t>
  </si>
  <si>
    <t>3.2.5.2.4</t>
  </si>
  <si>
    <t>Окраска качелей-маятника</t>
  </si>
  <si>
    <t>качели</t>
  </si>
  <si>
    <t>3.2.5.2.6</t>
  </si>
  <si>
    <t>Окраска поверхности песочницы</t>
  </si>
  <si>
    <t>песочница</t>
  </si>
  <si>
    <t>3.2.5.2.12</t>
  </si>
  <si>
    <t>Окраска металлических ограждений спортивных площадок</t>
  </si>
  <si>
    <t xml:space="preserve">пог.м. </t>
  </si>
  <si>
    <t>3.2.5.3</t>
  </si>
  <si>
    <t>Ремонт</t>
  </si>
  <si>
    <t>3.2.5.3.1</t>
  </si>
  <si>
    <t>Ремонт скамьи без спинки с металлическими опорами</t>
  </si>
  <si>
    <t>3.2.5.3.3</t>
  </si>
  <si>
    <t>Ремонт качелей-маятника</t>
  </si>
  <si>
    <t>3.2.5.3.5</t>
  </si>
  <si>
    <t>Ремонт песочницы</t>
  </si>
  <si>
    <t>3.2.5.3.11</t>
  </si>
  <si>
    <t>Ремонт металлических ограждений спортивных площадок</t>
  </si>
  <si>
    <t>пог.м заменяемого участка</t>
  </si>
  <si>
    <t>3.2.5.4</t>
  </si>
  <si>
    <t>Заполнение песочницы песком</t>
  </si>
  <si>
    <t>3.2.6</t>
  </si>
  <si>
    <t>Сдвижка и  подметание  снега при отсутствии снегопадов</t>
  </si>
  <si>
    <t>3.2.6.1</t>
  </si>
  <si>
    <t>Сдвижка и подметание снега при отсутствии снегопада на придомовой территории с усовершенствованным покрытием 1 класса</t>
  </si>
  <si>
    <t>10 000 кв.м. территории</t>
  </si>
  <si>
    <t>3.2.7</t>
  </si>
  <si>
    <t>Сдвижка и  подметание снега  при снегопаде</t>
  </si>
  <si>
    <t>3.2.7.1</t>
  </si>
  <si>
    <t>Сдвижка и подметание снега при снегопаде на придомовой территории с усовершенствованным покрытием 1 класса</t>
  </si>
  <si>
    <t>3.2.8</t>
  </si>
  <si>
    <t>Ликвидация наледи</t>
  </si>
  <si>
    <t>3.2.8.1</t>
  </si>
  <si>
    <t>Очистка территории с усовершенствованным покрытием 1 класса от наледи без обработки противогололедными реагентами</t>
  </si>
  <si>
    <t>3.2.8.7</t>
  </si>
  <si>
    <t>Подготовка смеси песка с хлоридами</t>
  </si>
  <si>
    <t>1 куб. м</t>
  </si>
  <si>
    <t>3.2.8.8</t>
  </si>
  <si>
    <t>Посыпка территории I класса</t>
  </si>
  <si>
    <t>3.2.8.11</t>
  </si>
  <si>
    <t>Транспортировка смеси песка с хлоридами от места складирования к месту посыпки</t>
  </si>
  <si>
    <t>1 куб.м</t>
  </si>
  <si>
    <t>3.2.8.12</t>
  </si>
  <si>
    <t>Очистка от наледи и льда крышек люков пожарных колодцев</t>
  </si>
  <si>
    <t>1 шт</t>
  </si>
  <si>
    <t>3.2.8.13</t>
  </si>
  <si>
    <t>Очистка от наледи и льда водосточных труб</t>
  </si>
  <si>
    <t>3.2.9</t>
  </si>
  <si>
    <t>Очистка кровли</t>
  </si>
  <si>
    <t>3.2.9.2</t>
  </si>
  <si>
    <t>Очистка кровли от снега, сбивание сосулек (при толщине слоя до 20 см)</t>
  </si>
  <si>
    <t>100 кв.м. кровли</t>
  </si>
  <si>
    <t>3.2.9.4</t>
  </si>
  <si>
    <t>Очистка кровли от мусора, листьев</t>
  </si>
  <si>
    <t>100 кв.м кровли</t>
  </si>
  <si>
    <t>3.2.10</t>
  </si>
  <si>
    <t>Механизированная уборка территории</t>
  </si>
  <si>
    <t>3.2.10.4</t>
  </si>
  <si>
    <t>Сдвигание свежевыпавшего снега толщиной слоя свыше 2 см в валы или кучи трактором</t>
  </si>
  <si>
    <t>1000 м2</t>
  </si>
  <si>
    <t>3.2.10.5</t>
  </si>
  <si>
    <t>Скалывание и уборка льда и уплотненного снега толщиной слоя свыше 2 см</t>
  </si>
  <si>
    <t>3.2.10.7</t>
  </si>
  <si>
    <t>Укладка снега, льда в валы или кучи  после механизированной уборки</t>
  </si>
  <si>
    <t>1 м3</t>
  </si>
  <si>
    <t>3.2.11</t>
  </si>
  <si>
    <t>Уборка крыльца и площадки перед входом в подъезд (в холодный период года)</t>
  </si>
  <si>
    <t>3.2.12</t>
  </si>
  <si>
    <t>Уборка крыльца и площадки перед входом в подъезд (в теплый период года)</t>
  </si>
  <si>
    <t>3.2.13</t>
  </si>
  <si>
    <t>Очистка металлической решетки и приямка (в теплый период)</t>
  </si>
  <si>
    <t>1 приямок</t>
  </si>
  <si>
    <t>3.2.17</t>
  </si>
  <si>
    <t>Прочистка водоприемной воронки внутреннего водостока</t>
  </si>
  <si>
    <t>1 воронка</t>
  </si>
  <si>
    <t>3.3</t>
  </si>
  <si>
    <t>Ремонт и установка объектов благоустройства придомовой территории</t>
  </si>
  <si>
    <t>3.3.1</t>
  </si>
  <si>
    <t>Ремонт  объектов  внешнего  благоустройства</t>
  </si>
  <si>
    <t>3.3.1.1</t>
  </si>
  <si>
    <t>Текущий ремонт ограждений газона</t>
  </si>
  <si>
    <t>пог.м.</t>
  </si>
  <si>
    <t>3.3.1.5</t>
  </si>
  <si>
    <t>Ремонт асфальтобетонного покрытия проездов</t>
  </si>
  <si>
    <t>3.3.2</t>
  </si>
  <si>
    <t>Строительство  объектов внешнего  благоустройства</t>
  </si>
  <si>
    <t>3.3.2.3</t>
  </si>
  <si>
    <t>Установка скамьи с металлическими опорами</t>
  </si>
  <si>
    <t>3.3.2.8</t>
  </si>
  <si>
    <t>Устройство песочницы</t>
  </si>
  <si>
    <t>3.4</t>
  </si>
  <si>
    <t>Прочие работы</t>
  </si>
  <si>
    <t>3.4.1</t>
  </si>
  <si>
    <t>Дератизация чердаков и подвалов</t>
  </si>
  <si>
    <t>3.4.1.3</t>
  </si>
  <si>
    <t>Дератизация чердаков и подвалов с применением готовой приманки типа "Шторм" -  антикоагулянта II поколения</t>
  </si>
  <si>
    <t>1000 м2  обрабатываемых  помещений</t>
  </si>
  <si>
    <t>3.4.2</t>
  </si>
  <si>
    <t>Дезинсекция  подвалов</t>
  </si>
  <si>
    <t>ИТОГО:</t>
  </si>
  <si>
    <t>Стоимость на кв.м. в мес., руб.</t>
  </si>
</sst>
</file>

<file path=xl/styles.xml><?xml version="1.0" encoding="utf-8"?>
<styleSheet xmlns="http://schemas.openxmlformats.org/spreadsheetml/2006/main">
  <numFmts count="1">
    <numFmt numFmtId="164" formatCode="#\ ###\ ##0.00"/>
  </numFmts>
  <fonts count="13">
    <font>
      <sz val="11"/>
      <color theme="1"/>
      <name val="Calibri"/>
      <family val="2"/>
      <scheme val="minor"/>
    </font>
    <font>
      <sz val="9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9"/>
      <color rgb="FFFFFFFF"/>
      <name val="Calibri"/>
      <family val="2"/>
      <charset val="204"/>
    </font>
    <font>
      <b/>
      <sz val="18"/>
      <color rgb="FF000099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color rgb="FF70707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8"/>
      <color rgb="FF000099"/>
      <name val="Calibri"/>
      <family val="2"/>
      <charset val="204"/>
    </font>
    <font>
      <b/>
      <sz val="9"/>
      <color rgb="FFFFFFFF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546E7A"/>
      </patternFill>
    </fill>
    <fill>
      <patternFill patternType="solid">
        <fgColor rgb="FFDCE6F1"/>
      </patternFill>
    </fill>
    <fill>
      <patternFill patternType="solid">
        <fgColor rgb="FFF2F2F2"/>
      </patternFill>
    </fill>
    <fill>
      <patternFill patternType="solid">
        <fgColor rgb="FFF9F7ED"/>
      </patternFill>
    </fill>
    <fill>
      <patternFill patternType="solid">
        <fgColor rgb="FFF5F2E0"/>
      </patternFill>
    </fill>
    <fill>
      <patternFill patternType="solid">
        <fgColor rgb="FFEBF1DE"/>
      </patternFill>
    </fill>
  </fills>
  <borders count="19">
    <border>
      <left/>
      <right/>
      <top/>
      <bottom/>
      <diagonal/>
    </border>
    <border>
      <left style="thick">
        <color rgb="FF000000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FFFFFF"/>
      </left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top" wrapText="1" indent="1"/>
    </xf>
    <xf numFmtId="49" fontId="2" fillId="0" borderId="0" xfId="0" applyNumberFormat="1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indent="1"/>
    </xf>
    <xf numFmtId="164" fontId="2" fillId="0" borderId="0" xfId="0" applyNumberFormat="1" applyFont="1" applyAlignment="1">
      <alignment horizontal="right" vertical="top" indent="1"/>
    </xf>
    <xf numFmtId="0" fontId="4" fillId="0" borderId="0" xfId="0" applyFont="1" applyAlignment="1">
      <alignment horizontal="center" vertical="center" wrapText="1" indent="1"/>
    </xf>
    <xf numFmtId="0" fontId="4" fillId="2" borderId="1" xfId="0" applyFont="1" applyFill="1" applyBorder="1" applyAlignment="1">
      <alignment horizontal="center" vertical="center" wrapText="1" indent="1"/>
    </xf>
    <xf numFmtId="49" fontId="4" fillId="2" borderId="2" xfId="0" applyNumberFormat="1" applyFont="1" applyFill="1" applyBorder="1" applyAlignment="1">
      <alignment horizontal="center" vertical="center" wrapText="1" indent="1"/>
    </xf>
    <xf numFmtId="0" fontId="4" fillId="2" borderId="2" xfId="0" applyFont="1" applyFill="1" applyBorder="1" applyAlignment="1">
      <alignment horizontal="center" vertical="center" wrapText="1" indent="1"/>
    </xf>
    <xf numFmtId="164" fontId="4" fillId="2" borderId="2" xfId="0" applyNumberFormat="1" applyFont="1" applyFill="1" applyBorder="1" applyAlignment="1">
      <alignment horizontal="center" vertical="center" wrapText="1" indent="1"/>
    </xf>
    <xf numFmtId="164" fontId="6" fillId="0" borderId="7" xfId="0" applyNumberFormat="1" applyFont="1" applyBorder="1" applyAlignment="1">
      <alignment horizontal="left" indent="1"/>
    </xf>
    <xf numFmtId="0" fontId="7" fillId="0" borderId="0" xfId="0" applyFont="1"/>
    <xf numFmtId="0" fontId="7" fillId="3" borderId="8" xfId="0" applyFont="1" applyFill="1" applyBorder="1" applyAlignment="1">
      <alignment horizontal="center" vertical="top" wrapText="1" indent="1"/>
    </xf>
    <xf numFmtId="49" fontId="7" fillId="3" borderId="9" xfId="0" applyNumberFormat="1" applyFont="1" applyFill="1" applyBorder="1" applyAlignment="1">
      <alignment horizontal="left" vertical="top" wrapText="1" indent="1"/>
    </xf>
    <xf numFmtId="0" fontId="8" fillId="0" borderId="0" xfId="0" applyFont="1"/>
    <xf numFmtId="0" fontId="8" fillId="4" borderId="8" xfId="0" applyFont="1" applyFill="1" applyBorder="1" applyAlignment="1">
      <alignment horizontal="center" vertical="top" wrapText="1" indent="1"/>
    </xf>
    <xf numFmtId="49" fontId="8" fillId="4" borderId="9" xfId="0" applyNumberFormat="1" applyFont="1" applyFill="1" applyBorder="1" applyAlignment="1">
      <alignment horizontal="left" vertical="top" wrapText="1" indent="1"/>
    </xf>
    <xf numFmtId="0" fontId="1" fillId="0" borderId="8" xfId="0" applyFont="1" applyBorder="1" applyAlignment="1">
      <alignment horizontal="center" vertical="top" wrapText="1" indent="1"/>
    </xf>
    <xf numFmtId="49" fontId="2" fillId="0" borderId="9" xfId="0" applyNumberFormat="1" applyFont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/>
    </xf>
    <xf numFmtId="0" fontId="3" fillId="5" borderId="9" xfId="0" applyFont="1" applyFill="1" applyBorder="1" applyAlignment="1">
      <alignment horizontal="right" vertical="top" indent="1"/>
    </xf>
    <xf numFmtId="0" fontId="3" fillId="6" borderId="9" xfId="0" applyFont="1" applyFill="1" applyBorder="1" applyAlignment="1">
      <alignment horizontal="right" vertical="top" indent="1"/>
    </xf>
    <xf numFmtId="164" fontId="2" fillId="0" borderId="9" xfId="0" applyNumberFormat="1" applyFont="1" applyBorder="1" applyAlignment="1">
      <alignment horizontal="right" vertical="top" indent="1"/>
    </xf>
    <xf numFmtId="0" fontId="9" fillId="0" borderId="0" xfId="0" applyFont="1" applyAlignment="1">
      <alignment horizontal="right" vertical="center" wrapText="1" indent="1"/>
    </xf>
    <xf numFmtId="164" fontId="9" fillId="2" borderId="2" xfId="0" applyNumberFormat="1" applyFont="1" applyFill="1" applyBorder="1" applyAlignment="1">
      <alignment horizontal="right" vertical="center" wrapText="1" indent="1"/>
    </xf>
    <xf numFmtId="164" fontId="9" fillId="2" borderId="3" xfId="0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indent="1"/>
    </xf>
    <xf numFmtId="164" fontId="6" fillId="0" borderId="0" xfId="0" applyNumberFormat="1" applyFont="1" applyBorder="1" applyAlignment="1">
      <alignment horizontal="left" indent="1"/>
    </xf>
    <xf numFmtId="164" fontId="2" fillId="7" borderId="13" xfId="0" applyNumberFormat="1" applyFont="1" applyFill="1" applyBorder="1" applyAlignment="1">
      <alignment horizontal="right" vertical="top" indent="1"/>
    </xf>
    <xf numFmtId="164" fontId="9" fillId="2" borderId="14" xfId="0" applyNumberFormat="1" applyFont="1" applyFill="1" applyBorder="1" applyAlignment="1">
      <alignment horizontal="right" vertical="center" wrapText="1" indent="1"/>
    </xf>
    <xf numFmtId="0" fontId="7" fillId="3" borderId="15" xfId="0" applyFont="1" applyFill="1" applyBorder="1" applyAlignment="1">
      <alignment horizontal="left" vertical="top" wrapText="1"/>
    </xf>
    <xf numFmtId="0" fontId="8" fillId="4" borderId="16" xfId="0" applyFont="1" applyFill="1" applyBorder="1" applyAlignment="1">
      <alignment indent="1"/>
    </xf>
    <xf numFmtId="164" fontId="2" fillId="7" borderId="16" xfId="0" applyNumberFormat="1" applyFont="1" applyFill="1" applyBorder="1" applyAlignment="1">
      <alignment horizontal="right" vertical="top" indent="1"/>
    </xf>
    <xf numFmtId="0" fontId="7" fillId="3" borderId="16" xfId="0" applyFont="1" applyFill="1" applyBorder="1" applyAlignment="1">
      <alignment horizontal="left" vertical="top" wrapText="1"/>
    </xf>
    <xf numFmtId="0" fontId="8" fillId="4" borderId="16" xfId="0" applyFont="1" applyFill="1" applyBorder="1" applyAlignment="1">
      <alignment indent="2"/>
    </xf>
    <xf numFmtId="0" fontId="8" fillId="4" borderId="16" xfId="0" applyFont="1" applyFill="1" applyBorder="1" applyAlignment="1">
      <alignment indent="3"/>
    </xf>
    <xf numFmtId="0" fontId="8" fillId="4" borderId="16" xfId="0" applyFont="1" applyFill="1" applyBorder="1" applyAlignment="1">
      <alignment indent="4"/>
    </xf>
    <xf numFmtId="164" fontId="2" fillId="7" borderId="17" xfId="0" applyNumberFormat="1" applyFont="1" applyFill="1" applyBorder="1" applyAlignment="1">
      <alignment horizontal="right" vertical="top" indent="1"/>
    </xf>
    <xf numFmtId="164" fontId="4" fillId="2" borderId="18" xfId="0" applyNumberFormat="1" applyFont="1" applyFill="1" applyBorder="1" applyAlignment="1">
      <alignment horizontal="center" vertical="center" wrapText="1" indent="1"/>
    </xf>
    <xf numFmtId="164" fontId="12" fillId="2" borderId="18" xfId="0" applyNumberFormat="1" applyFont="1" applyFill="1" applyBorder="1" applyAlignment="1">
      <alignment horizontal="center" vertical="center" wrapText="1" indent="1"/>
    </xf>
    <xf numFmtId="0" fontId="11" fillId="0" borderId="11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164" fontId="6" fillId="0" borderId="4" xfId="0" applyNumberFormat="1" applyFont="1" applyBorder="1" applyAlignment="1">
      <alignment horizontal="right" indent="1"/>
    </xf>
    <xf numFmtId="164" fontId="6" fillId="0" borderId="6" xfId="0" applyNumberFormat="1" applyFont="1" applyBorder="1" applyAlignment="1">
      <alignment horizontal="right" indent="1"/>
    </xf>
    <xf numFmtId="0" fontId="7" fillId="3" borderId="10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indent="1"/>
    </xf>
    <xf numFmtId="0" fontId="8" fillId="4" borderId="13" xfId="0" applyFont="1" applyFill="1" applyBorder="1" applyAlignment="1">
      <alignment indent="1"/>
    </xf>
    <xf numFmtId="0" fontId="8" fillId="4" borderId="10" xfId="0" applyFont="1" applyFill="1" applyBorder="1" applyAlignment="1">
      <alignment indent="2"/>
    </xf>
    <xf numFmtId="0" fontId="8" fillId="4" borderId="13" xfId="0" applyFont="1" applyFill="1" applyBorder="1" applyAlignment="1">
      <alignment indent="2"/>
    </xf>
    <xf numFmtId="0" fontId="8" fillId="4" borderId="10" xfId="0" applyFont="1" applyFill="1" applyBorder="1" applyAlignment="1">
      <alignment indent="3"/>
    </xf>
    <xf numFmtId="0" fontId="8" fillId="4" borderId="13" xfId="0" applyFont="1" applyFill="1" applyBorder="1" applyAlignment="1">
      <alignment indent="3"/>
    </xf>
    <xf numFmtId="0" fontId="8" fillId="4" borderId="10" xfId="0" applyFont="1" applyFill="1" applyBorder="1" applyAlignment="1">
      <alignment indent="4"/>
    </xf>
    <xf numFmtId="0" fontId="8" fillId="4" borderId="13" xfId="0" applyFont="1" applyFill="1" applyBorder="1" applyAlignment="1">
      <alignment indent="4"/>
    </xf>
    <xf numFmtId="0" fontId="10" fillId="2" borderId="1" xfId="0" applyFont="1" applyFill="1" applyBorder="1" applyAlignment="1">
      <alignment horizontal="right" vertical="center" wrapText="1" indent="1"/>
    </xf>
    <xf numFmtId="14" fontId="6" fillId="0" borderId="5" xfId="0" applyNumberFormat="1" applyFont="1" applyBorder="1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1"/>
  <sheetViews>
    <sheetView tabSelected="1" workbookViewId="0">
      <pane ySplit="1" topLeftCell="A2" activePane="bottomLeft" state="frozen"/>
      <selection pane="bottomLeft" activeCell="S7" sqref="S7"/>
    </sheetView>
  </sheetViews>
  <sheetFormatPr defaultRowHeight="15.75"/>
  <cols>
    <col min="1" max="1" width="3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3" width="14" style="5" customWidth="1"/>
    <col min="14" max="15" width="16" style="5" customWidth="1"/>
  </cols>
  <sheetData>
    <row r="1" spans="1:15" s="6" customFormat="1" ht="39.950000000000003" customHeight="1" thickTop="1" thickBot="1">
      <c r="A1" s="6" t="s">
        <v>0</v>
      </c>
      <c r="B1" s="7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39" t="s">
        <v>13</v>
      </c>
      <c r="O1" s="40" t="s">
        <v>1026</v>
      </c>
    </row>
    <row r="2" spans="1:15" thickTop="1">
      <c r="A2" t="s">
        <v>0</v>
      </c>
      <c r="B2" s="41" t="s">
        <v>14</v>
      </c>
      <c r="C2" s="42"/>
      <c r="D2" s="42"/>
      <c r="E2" s="42"/>
      <c r="F2" s="42"/>
      <c r="G2" s="42"/>
      <c r="H2" s="42"/>
      <c r="I2" s="42"/>
      <c r="J2" s="42"/>
      <c r="K2" s="42"/>
      <c r="L2" s="45" t="s">
        <v>15</v>
      </c>
      <c r="M2" s="45"/>
      <c r="N2" s="58">
        <v>45575</v>
      </c>
      <c r="O2" s="27"/>
    </row>
    <row r="3" spans="1:15" ht="41.25" customHeight="1" thickBot="1">
      <c r="B3" s="43"/>
      <c r="C3" s="44"/>
      <c r="D3" s="44"/>
      <c r="E3" s="44"/>
      <c r="F3" s="44"/>
      <c r="G3" s="44"/>
      <c r="H3" s="44"/>
      <c r="I3" s="44"/>
      <c r="J3" s="44"/>
      <c r="K3" s="44"/>
      <c r="L3" s="46" t="s">
        <v>16</v>
      </c>
      <c r="M3" s="46"/>
      <c r="N3" s="11">
        <v>40073</v>
      </c>
      <c r="O3" s="28"/>
    </row>
    <row r="4" spans="1:15" s="12" customFormat="1" thickTop="1">
      <c r="B4" s="13"/>
      <c r="C4" s="14" t="s">
        <v>17</v>
      </c>
      <c r="D4" s="47" t="s">
        <v>18</v>
      </c>
      <c r="E4" s="47"/>
      <c r="F4" s="47"/>
      <c r="G4" s="47"/>
      <c r="H4" s="47"/>
      <c r="I4" s="47"/>
      <c r="J4" s="47"/>
      <c r="K4" s="47"/>
      <c r="L4" s="47"/>
      <c r="M4" s="47"/>
      <c r="N4" s="48"/>
      <c r="O4" s="31"/>
    </row>
    <row r="5" spans="1:15" s="15" customFormat="1" ht="12.75">
      <c r="B5" s="16"/>
      <c r="C5" s="17" t="s">
        <v>19</v>
      </c>
      <c r="D5" s="49" t="s">
        <v>20</v>
      </c>
      <c r="E5" s="49"/>
      <c r="F5" s="49"/>
      <c r="G5" s="49"/>
      <c r="H5" s="49"/>
      <c r="I5" s="49"/>
      <c r="J5" s="49"/>
      <c r="K5" s="49"/>
      <c r="L5" s="49"/>
      <c r="M5" s="49"/>
      <c r="N5" s="50"/>
      <c r="O5" s="32"/>
    </row>
    <row r="6" spans="1:15">
      <c r="B6" s="18">
        <v>1</v>
      </c>
      <c r="C6" s="19" t="s">
        <v>21</v>
      </c>
      <c r="D6" s="20" t="s">
        <v>22</v>
      </c>
      <c r="E6" s="20" t="s">
        <v>23</v>
      </c>
      <c r="F6" s="21">
        <v>12.6</v>
      </c>
      <c r="G6" s="22">
        <v>1</v>
      </c>
      <c r="H6" s="23">
        <f>F6 * G6 * 1435.619052</f>
        <v>18088.800055200001</v>
      </c>
      <c r="I6" s="23">
        <f>F6 * G6 * 0</f>
        <v>0</v>
      </c>
      <c r="J6" s="23">
        <f>F6 * G6 * 19.067664</f>
        <v>240.25256640000001</v>
      </c>
      <c r="K6" s="23">
        <f>F6 * G6 * 1366.709338</f>
        <v>17220.5376588</v>
      </c>
      <c r="L6" s="23">
        <f>F6 * G6 * 327.948845</f>
        <v>4132.1554470000001</v>
      </c>
      <c r="M6" s="23">
        <f>F6 * G6 * 287.12381</f>
        <v>3617.760006</v>
      </c>
      <c r="N6" s="29">
        <f>SUM(H6:M6)</f>
        <v>43299.505733399994</v>
      </c>
      <c r="O6" s="33">
        <v>9.004297518154368E-2</v>
      </c>
    </row>
    <row r="7" spans="1:15" s="15" customFormat="1" ht="12.75">
      <c r="B7" s="16"/>
      <c r="C7" s="17" t="s">
        <v>24</v>
      </c>
      <c r="D7" s="49" t="s">
        <v>25</v>
      </c>
      <c r="E7" s="49"/>
      <c r="F7" s="49"/>
      <c r="G7" s="49"/>
      <c r="H7" s="49"/>
      <c r="I7" s="49"/>
      <c r="J7" s="49"/>
      <c r="K7" s="49"/>
      <c r="L7" s="49"/>
      <c r="M7" s="49"/>
      <c r="N7" s="50"/>
      <c r="O7" s="32"/>
    </row>
    <row r="8" spans="1:15" ht="25.5">
      <c r="B8" s="18">
        <v>2</v>
      </c>
      <c r="C8" s="19" t="s">
        <v>26</v>
      </c>
      <c r="D8" s="20" t="s">
        <v>27</v>
      </c>
      <c r="E8" s="20" t="s">
        <v>28</v>
      </c>
      <c r="F8" s="21">
        <v>7</v>
      </c>
      <c r="G8" s="22">
        <v>1</v>
      </c>
      <c r="H8" s="23">
        <f>F8 * G8 * 1414.711751</f>
        <v>9902.9822569999997</v>
      </c>
      <c r="I8" s="23">
        <f>F8 * G8 * 4133.305751</f>
        <v>28933.140256999999</v>
      </c>
      <c r="J8" s="23">
        <f>F8 * G8 * 33.78584</f>
        <v>236.50088</v>
      </c>
      <c r="K8" s="23">
        <f>F8 * G8 * 1346.805587</f>
        <v>9427.6391089999997</v>
      </c>
      <c r="L8" s="23">
        <f>F8 * G8 * 760.81866</f>
        <v>5325.7306200000003</v>
      </c>
      <c r="M8" s="23">
        <f>F8 * G8 * 282.94235</f>
        <v>1980.5964499999998</v>
      </c>
      <c r="N8" s="29">
        <f>SUM(H8:M8)</f>
        <v>55806.589573000005</v>
      </c>
      <c r="O8" s="33">
        <v>0.11605193349844867</v>
      </c>
    </row>
    <row r="9" spans="1:15">
      <c r="B9" s="18">
        <v>3</v>
      </c>
      <c r="C9" s="19" t="s">
        <v>29</v>
      </c>
      <c r="D9" s="20" t="s">
        <v>30</v>
      </c>
      <c r="E9" s="20" t="s">
        <v>31</v>
      </c>
      <c r="F9" s="21">
        <v>7</v>
      </c>
      <c r="G9" s="22">
        <v>1</v>
      </c>
      <c r="H9" s="23">
        <f>F9 * G9 * 553.755789</f>
        <v>3876.2905230000006</v>
      </c>
      <c r="I9" s="23">
        <f>F9 * G9 * 0</f>
        <v>0</v>
      </c>
      <c r="J9" s="23">
        <f>F9 * G9 * 0</f>
        <v>0</v>
      </c>
      <c r="K9" s="23">
        <f>F9 * G9 * 527.175511</f>
        <v>3690.2285770000003</v>
      </c>
      <c r="L9" s="23">
        <f>F9 * G9 * 125.722499</f>
        <v>880.05749300000002</v>
      </c>
      <c r="M9" s="23">
        <f>F9 * G9 * 110.751158</f>
        <v>775.258106</v>
      </c>
      <c r="N9" s="29">
        <f>SUM(H9:M9)</f>
        <v>9221.8346990000009</v>
      </c>
      <c r="O9" s="33">
        <v>1.9177157310824415E-2</v>
      </c>
    </row>
    <row r="10" spans="1:15" s="15" customFormat="1" ht="12.75">
      <c r="B10" s="16"/>
      <c r="C10" s="17" t="s">
        <v>32</v>
      </c>
      <c r="D10" s="49" t="s">
        <v>33</v>
      </c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32"/>
    </row>
    <row r="11" spans="1:15" ht="38.25">
      <c r="B11" s="18">
        <v>4</v>
      </c>
      <c r="C11" s="19" t="s">
        <v>34</v>
      </c>
      <c r="D11" s="20" t="s">
        <v>35</v>
      </c>
      <c r="E11" s="20" t="s">
        <v>36</v>
      </c>
      <c r="F11" s="21">
        <v>0.56000000000000005</v>
      </c>
      <c r="G11" s="22">
        <v>1</v>
      </c>
      <c r="H11" s="23">
        <f>F11 * G11 * 4483.592352</f>
        <v>2510.8117171200001</v>
      </c>
      <c r="I11" s="23">
        <f>F11 * G11 * 13439.180475</f>
        <v>7525.9410660000003</v>
      </c>
      <c r="J11" s="23">
        <f t="shared" ref="J11:J17" si="0">F11 * G11 * 0</f>
        <v>0</v>
      </c>
      <c r="K11" s="23">
        <f>F11 * G11 * 4268.379919</f>
        <v>2390.2927546400001</v>
      </c>
      <c r="L11" s="23">
        <f>F11 * G11 * 2435.77041299999</f>
        <v>1364.0314312799946</v>
      </c>
      <c r="M11" s="23">
        <f>F11 * G11 * 896.71847</f>
        <v>502.16234320000007</v>
      </c>
      <c r="N11" s="29">
        <f t="shared" ref="N11:N17" si="1">SUM(H11:M11)</f>
        <v>14293.239312239995</v>
      </c>
      <c r="O11" s="33">
        <v>2.9723336810820244E-2</v>
      </c>
    </row>
    <row r="12" spans="1:15">
      <c r="B12" s="18">
        <v>5</v>
      </c>
      <c r="C12" s="19" t="s">
        <v>37</v>
      </c>
      <c r="D12" s="20" t="s">
        <v>38</v>
      </c>
      <c r="E12" s="20" t="s">
        <v>39</v>
      </c>
      <c r="F12" s="21">
        <v>0.56000000000000005</v>
      </c>
      <c r="G12" s="22">
        <v>12</v>
      </c>
      <c r="H12" s="23">
        <f>F12 * G12 * 1591.675285</f>
        <v>10696.057915200001</v>
      </c>
      <c r="I12" s="23">
        <f>F12 * G12 * 4885.368</f>
        <v>32829.672960000004</v>
      </c>
      <c r="J12" s="23">
        <f t="shared" si="0"/>
        <v>0</v>
      </c>
      <c r="K12" s="23">
        <f>F12 * G12 * 1515.274871</f>
        <v>10182.647133120001</v>
      </c>
      <c r="L12" s="23">
        <f>F12 * G12 * 876.773914</f>
        <v>5891.9207020800004</v>
      </c>
      <c r="M12" s="23">
        <f>F12 * G12 * 318.335057</f>
        <v>2139.2115830400003</v>
      </c>
      <c r="N12" s="29">
        <f t="shared" si="1"/>
        <v>61739.510293440006</v>
      </c>
      <c r="O12" s="33">
        <v>0.12838966863274526</v>
      </c>
    </row>
    <row r="13" spans="1:15">
      <c r="B13" s="18">
        <v>6</v>
      </c>
      <c r="C13" s="19" t="s">
        <v>40</v>
      </c>
      <c r="D13" s="20" t="s">
        <v>41</v>
      </c>
      <c r="E13" s="20" t="s">
        <v>39</v>
      </c>
      <c r="F13" s="21">
        <v>0.14000000000000001</v>
      </c>
      <c r="G13" s="22">
        <v>1</v>
      </c>
      <c r="H13" s="23">
        <f>F13 * G13 * 5748.940747</f>
        <v>804.85170458000005</v>
      </c>
      <c r="I13" s="23">
        <f>F13 * G13 * 7464.4272</f>
        <v>1045.019808</v>
      </c>
      <c r="J13" s="23">
        <f t="shared" si="0"/>
        <v>0</v>
      </c>
      <c r="K13" s="23">
        <f>F13 * G13 * 5472.991592</f>
        <v>766.21882288000006</v>
      </c>
      <c r="L13" s="23">
        <f>F13 * G13 * 2092.713581</f>
        <v>292.97990134000003</v>
      </c>
      <c r="M13" s="23">
        <f>F13 * G13 * 1149.788149</f>
        <v>160.97034086000002</v>
      </c>
      <c r="N13" s="29">
        <f t="shared" si="1"/>
        <v>3070.0405776600001</v>
      </c>
      <c r="O13" s="33">
        <v>6.3842665836099126E-3</v>
      </c>
    </row>
    <row r="14" spans="1:15">
      <c r="B14" s="18">
        <v>7</v>
      </c>
      <c r="C14" s="19" t="s">
        <v>42</v>
      </c>
      <c r="D14" s="20" t="s">
        <v>43</v>
      </c>
      <c r="E14" s="20" t="s">
        <v>39</v>
      </c>
      <c r="F14" s="21">
        <v>0.14000000000000001</v>
      </c>
      <c r="G14" s="22">
        <v>1</v>
      </c>
      <c r="H14" s="23">
        <f>F14 * G14 * 8121.502066</f>
        <v>1137.01028924</v>
      </c>
      <c r="I14" s="23">
        <f>F14 * G14 * 3387.384</f>
        <v>474.23376000000007</v>
      </c>
      <c r="J14" s="23">
        <f t="shared" si="0"/>
        <v>0</v>
      </c>
      <c r="K14" s="23">
        <f>F14 * G14 * 7731.669967</f>
        <v>1082.43379538</v>
      </c>
      <c r="L14" s="23">
        <f>F14 * G14 * 2201.242355</f>
        <v>308.17392970000003</v>
      </c>
      <c r="M14" s="23">
        <f>F14 * G14 * 1624.300413</f>
        <v>227.40205782000001</v>
      </c>
      <c r="N14" s="29">
        <f t="shared" si="1"/>
        <v>3229.2538321400002</v>
      </c>
      <c r="O14" s="33">
        <v>6.7153566244520417E-3</v>
      </c>
    </row>
    <row r="15" spans="1:15" ht="25.5">
      <c r="B15" s="18">
        <v>8</v>
      </c>
      <c r="C15" s="19" t="s">
        <v>44</v>
      </c>
      <c r="D15" s="20" t="s">
        <v>45</v>
      </c>
      <c r="E15" s="20" t="s">
        <v>46</v>
      </c>
      <c r="F15" s="21">
        <v>0.7</v>
      </c>
      <c r="G15" s="22">
        <v>0.2</v>
      </c>
      <c r="H15" s="23">
        <f>F15 * G15 * 10354.856537</f>
        <v>1449.6799151799999</v>
      </c>
      <c r="I15" s="23">
        <f>F15 * G15 * 127571.28611</f>
        <v>17859.980055399999</v>
      </c>
      <c r="J15" s="23">
        <f t="shared" si="0"/>
        <v>0</v>
      </c>
      <c r="K15" s="23">
        <f>F15 * G15 * 9857.823423</f>
        <v>1380.0952792199998</v>
      </c>
      <c r="L15" s="23">
        <f>F15 * G15 * 15809.695893</f>
        <v>2213.3574250199999</v>
      </c>
      <c r="M15" s="23">
        <f>F15 * G15 * 2070.971307</f>
        <v>289.93598297999995</v>
      </c>
      <c r="N15" s="29">
        <f t="shared" si="1"/>
        <v>23193.048657800002</v>
      </c>
      <c r="O15" s="33">
        <v>4.823083010547418E-2</v>
      </c>
    </row>
    <row r="16" spans="1:15">
      <c r="B16" s="18">
        <v>9</v>
      </c>
      <c r="C16" s="19" t="s">
        <v>47</v>
      </c>
      <c r="D16" s="20" t="s">
        <v>48</v>
      </c>
      <c r="E16" s="20" t="s">
        <v>49</v>
      </c>
      <c r="F16" s="21">
        <v>7</v>
      </c>
      <c r="G16" s="22">
        <v>0.2</v>
      </c>
      <c r="H16" s="23">
        <f>F16 * G16 * 755.698906</f>
        <v>1057.9784684000001</v>
      </c>
      <c r="I16" s="23">
        <f>F16 * G16 * 1264.115816</f>
        <v>1769.7621424000001</v>
      </c>
      <c r="J16" s="23">
        <f t="shared" si="0"/>
        <v>0</v>
      </c>
      <c r="K16" s="23">
        <f>F16 * G16 * 719.425359</f>
        <v>1007.1955026000001</v>
      </c>
      <c r="L16" s="23">
        <f>F16 * G16 * 304.935075</f>
        <v>426.90910500000001</v>
      </c>
      <c r="M16" s="23">
        <f>F16 * G16 * 151.139781</f>
        <v>211.59569340000002</v>
      </c>
      <c r="N16" s="29">
        <f t="shared" si="1"/>
        <v>4473.4409118000003</v>
      </c>
      <c r="O16" s="33">
        <v>9.3026911548923213E-3</v>
      </c>
    </row>
    <row r="17" spans="2:15">
      <c r="B17" s="18">
        <v>10</v>
      </c>
      <c r="C17" s="19" t="s">
        <v>50</v>
      </c>
      <c r="D17" s="20" t="s">
        <v>51</v>
      </c>
      <c r="E17" s="20" t="s">
        <v>52</v>
      </c>
      <c r="F17" s="21">
        <v>0.49</v>
      </c>
      <c r="G17" s="22">
        <v>0.2</v>
      </c>
      <c r="H17" s="23">
        <f>F17 * G17 * 8311.298654</f>
        <v>814.507268092</v>
      </c>
      <c r="I17" s="23">
        <f>F17 * G17 * 67892.886109</f>
        <v>6653.5028386820004</v>
      </c>
      <c r="J17" s="23">
        <f t="shared" si="0"/>
        <v>0</v>
      </c>
      <c r="K17" s="23">
        <f>F17 * G17 * 7912.35631899999</f>
        <v>775.41091926199908</v>
      </c>
      <c r="L17" s="23">
        <f>F17 * G17 * 9049.663486</f>
        <v>886.86702162799997</v>
      </c>
      <c r="M17" s="23">
        <f>F17 * G17 * 1662.259731</f>
        <v>162.90145363800002</v>
      </c>
      <c r="N17" s="29">
        <f t="shared" si="1"/>
        <v>9293.1895013020003</v>
      </c>
      <c r="O17" s="33">
        <v>1.9325542346263904E-2</v>
      </c>
    </row>
    <row r="18" spans="2:15" s="15" customFormat="1" ht="12.75">
      <c r="B18" s="16"/>
      <c r="C18" s="17" t="s">
        <v>53</v>
      </c>
      <c r="D18" s="49" t="s">
        <v>54</v>
      </c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32"/>
    </row>
    <row r="19" spans="2:15" ht="25.5">
      <c r="B19" s="18">
        <v>11</v>
      </c>
      <c r="C19" s="19" t="s">
        <v>55</v>
      </c>
      <c r="D19" s="20" t="s">
        <v>56</v>
      </c>
      <c r="E19" s="20" t="s">
        <v>57</v>
      </c>
      <c r="F19" s="21">
        <v>0.05</v>
      </c>
      <c r="G19" s="22">
        <v>1</v>
      </c>
      <c r="H19" s="23">
        <f>F19 * G19 * 1596.975451</f>
        <v>79.848772550000007</v>
      </c>
      <c r="I19" s="23">
        <f>F19 * G19 * 21597.90624</f>
        <v>1079.8953120000001</v>
      </c>
      <c r="J19" s="23">
        <f>F19 * G19 * 2434.832224</f>
        <v>121.74161120000002</v>
      </c>
      <c r="K19" s="23">
        <f>F19 * G19 * 2830.469755</f>
        <v>141.52348775000002</v>
      </c>
      <c r="L19" s="23">
        <f>F19 * G19 * 3065.283528</f>
        <v>153.2641764</v>
      </c>
      <c r="M19" s="23">
        <f>F19 * G19 * 594.636503</f>
        <v>29.731825149999999</v>
      </c>
      <c r="N19" s="29">
        <f>SUM(H19:M19)</f>
        <v>1606.0051850500001</v>
      </c>
      <c r="O19" s="33">
        <v>3.3397490934253325E-3</v>
      </c>
    </row>
    <row r="20" spans="2:15" s="15" customFormat="1" ht="12.75">
      <c r="B20" s="16"/>
      <c r="C20" s="17" t="s">
        <v>58</v>
      </c>
      <c r="D20" s="49" t="s">
        <v>59</v>
      </c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32"/>
    </row>
    <row r="21" spans="2:15" ht="25.5">
      <c r="B21" s="18">
        <v>12</v>
      </c>
      <c r="C21" s="19" t="s">
        <v>60</v>
      </c>
      <c r="D21" s="20" t="s">
        <v>61</v>
      </c>
      <c r="E21" s="20" t="s">
        <v>62</v>
      </c>
      <c r="F21" s="21">
        <v>0.7</v>
      </c>
      <c r="G21" s="22">
        <v>0.2</v>
      </c>
      <c r="H21" s="23">
        <f>F21 * G21 * 58708.137087</f>
        <v>8219.1391921799986</v>
      </c>
      <c r="I21" s="23">
        <f>F21 * G21 * 70612.033515</f>
        <v>9885.6846920999997</v>
      </c>
      <c r="J21" s="23">
        <f>F21 * G21 * 2733.912984</f>
        <v>382.74781775999998</v>
      </c>
      <c r="K21" s="23">
        <f>F21 * G21 * 58248.696484</f>
        <v>8154.817507759999</v>
      </c>
      <c r="L21" s="23">
        <f>F21 * G21 * 21367.959575</f>
        <v>2991.5143404999999</v>
      </c>
      <c r="M21" s="23">
        <f>F21 * G21 * 12237.12111</f>
        <v>1713.1969553999998</v>
      </c>
      <c r="N21" s="29">
        <f>SUM(H21:M21)</f>
        <v>31347.100505699997</v>
      </c>
      <c r="O21" s="33">
        <v>6.5187492213585205E-2</v>
      </c>
    </row>
    <row r="22" spans="2:15">
      <c r="B22" s="18">
        <v>13</v>
      </c>
      <c r="C22" s="19" t="s">
        <v>63</v>
      </c>
      <c r="D22" s="20" t="s">
        <v>64</v>
      </c>
      <c r="E22" s="20" t="s">
        <v>65</v>
      </c>
      <c r="F22" s="21">
        <v>84</v>
      </c>
      <c r="G22" s="22">
        <v>1</v>
      </c>
      <c r="H22" s="23">
        <f>F22 * G22 * 98.639032</f>
        <v>8285.678688</v>
      </c>
      <c r="I22" s="23">
        <f>F22 * G22 * 157.771984</f>
        <v>13252.846656</v>
      </c>
      <c r="J22" s="23">
        <f>F22 * G22 * 0</f>
        <v>0</v>
      </c>
      <c r="K22" s="23">
        <f>F22 * G22 * 93.904359</f>
        <v>7887.9661560000004</v>
      </c>
      <c r="L22" s="23">
        <f>F22 * G22 * 39.039556</f>
        <v>3279.3227039999997</v>
      </c>
      <c r="M22" s="23">
        <f>F22 * G22 * 19.727806</f>
        <v>1657.135704</v>
      </c>
      <c r="N22" s="29">
        <f>SUM(H22:M22)</f>
        <v>34362.949908000002</v>
      </c>
      <c r="O22" s="33">
        <v>7.1459066179222916E-2</v>
      </c>
    </row>
    <row r="23" spans="2:15" s="12" customFormat="1" ht="15">
      <c r="B23" s="13"/>
      <c r="C23" s="14" t="s">
        <v>66</v>
      </c>
      <c r="D23" s="47" t="s">
        <v>67</v>
      </c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34"/>
    </row>
    <row r="24" spans="2:15" s="15" customFormat="1" ht="12.75">
      <c r="B24" s="16"/>
      <c r="C24" s="17" t="s">
        <v>68</v>
      </c>
      <c r="D24" s="49" t="s">
        <v>69</v>
      </c>
      <c r="E24" s="49"/>
      <c r="F24" s="49"/>
      <c r="G24" s="49"/>
      <c r="H24" s="49"/>
      <c r="I24" s="49"/>
      <c r="J24" s="49"/>
      <c r="K24" s="49"/>
      <c r="L24" s="49"/>
      <c r="M24" s="49"/>
      <c r="N24" s="50"/>
      <c r="O24" s="32"/>
    </row>
    <row r="25" spans="2:15" ht="51">
      <c r="B25" s="18">
        <v>14</v>
      </c>
      <c r="C25" s="19" t="s">
        <v>70</v>
      </c>
      <c r="D25" s="20" t="s">
        <v>71</v>
      </c>
      <c r="E25" s="20" t="s">
        <v>72</v>
      </c>
      <c r="F25" s="21">
        <v>0.2</v>
      </c>
      <c r="G25" s="22">
        <v>1</v>
      </c>
      <c r="H25" s="23">
        <f>F25 * G25 * 16660.924084</f>
        <v>3332.1848167999997</v>
      </c>
      <c r="I25" s="23">
        <f>F25 * G25 * 83438.188065</f>
        <v>16687.637612999999</v>
      </c>
      <c r="J25" s="23">
        <f>F25 * G25 * 60.887904</f>
        <v>12.177580800000001</v>
      </c>
      <c r="K25" s="23">
        <f>F25 * G25 * 15861.199728</f>
        <v>3172.2399456000003</v>
      </c>
      <c r="L25" s="23">
        <f>F25 * G25 * 12591.782075</f>
        <v>2518.3564150000002</v>
      </c>
      <c r="M25" s="23">
        <f>F25 * G25 * 3332.184817</f>
        <v>666.43696339999997</v>
      </c>
      <c r="N25" s="29">
        <f>SUM(H25:M25)</f>
        <v>26389.033334600001</v>
      </c>
      <c r="O25" s="33">
        <v>5.4877002251308031E-2</v>
      </c>
    </row>
    <row r="26" spans="2:15" s="15" customFormat="1" ht="12.75">
      <c r="B26" s="16"/>
      <c r="C26" s="17" t="s">
        <v>73</v>
      </c>
      <c r="D26" s="49" t="s">
        <v>74</v>
      </c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32"/>
    </row>
    <row r="27" spans="2:15" s="15" customFormat="1" ht="12.75">
      <c r="B27" s="16"/>
      <c r="C27" s="17" t="s">
        <v>75</v>
      </c>
      <c r="D27" s="51" t="s">
        <v>76</v>
      </c>
      <c r="E27" s="51"/>
      <c r="F27" s="51"/>
      <c r="G27" s="51"/>
      <c r="H27" s="51"/>
      <c r="I27" s="51"/>
      <c r="J27" s="51"/>
      <c r="K27" s="51"/>
      <c r="L27" s="51"/>
      <c r="M27" s="51"/>
      <c r="N27" s="52"/>
      <c r="O27" s="35"/>
    </row>
    <row r="28" spans="2:15" ht="25.5">
      <c r="B28" s="18">
        <v>15</v>
      </c>
      <c r="C28" s="19" t="s">
        <v>77</v>
      </c>
      <c r="D28" s="20" t="s">
        <v>78</v>
      </c>
      <c r="E28" s="20" t="s">
        <v>79</v>
      </c>
      <c r="F28" s="21">
        <v>36.75</v>
      </c>
      <c r="G28" s="22">
        <v>1</v>
      </c>
      <c r="H28" s="23">
        <f>F28 * G28 * 2358.696585</f>
        <v>86682.099498750002</v>
      </c>
      <c r="I28" s="23">
        <f>F28 * G28 * 2330.556965</f>
        <v>85647.968463750003</v>
      </c>
      <c r="J28" s="23">
        <f>F28 * G28 * 0</f>
        <v>0</v>
      </c>
      <c r="K28" s="23">
        <f>F28 * G28 * 2245.479149</f>
        <v>82521.358725749989</v>
      </c>
      <c r="L28" s="23">
        <f>F28 * G28 * 781.382798</f>
        <v>28715.817826499999</v>
      </c>
      <c r="M28" s="23">
        <f>F28 * G28 * 471.739317</f>
        <v>17336.419899750003</v>
      </c>
      <c r="N28" s="29">
        <f>SUM(H28:M28)</f>
        <v>300903.66441449994</v>
      </c>
      <c r="O28" s="33">
        <v>0.62574065749694296</v>
      </c>
    </row>
    <row r="29" spans="2:15" ht="25.5">
      <c r="B29" s="18">
        <v>16</v>
      </c>
      <c r="C29" s="19" t="s">
        <v>80</v>
      </c>
      <c r="D29" s="20" t="s">
        <v>81</v>
      </c>
      <c r="E29" s="20" t="s">
        <v>79</v>
      </c>
      <c r="F29" s="21">
        <v>12.6</v>
      </c>
      <c r="G29" s="22">
        <v>1</v>
      </c>
      <c r="H29" s="23">
        <f>F29 * G29 * 1144.998342</f>
        <v>14426.979109200001</v>
      </c>
      <c r="I29" s="23">
        <f>F29 * G29 * 2330.556965</f>
        <v>29365.017759000002</v>
      </c>
      <c r="J29" s="23">
        <f>F29 * G29 * 0</f>
        <v>0</v>
      </c>
      <c r="K29" s="23">
        <f>F29 * G29 * 1090.038421</f>
        <v>13734.4841046</v>
      </c>
      <c r="L29" s="23">
        <f>F29 * G29 * 505.829602999999</f>
        <v>6373.4529977999873</v>
      </c>
      <c r="M29" s="23">
        <f>F29 * G29 * 228.999668</f>
        <v>2885.3958167999999</v>
      </c>
      <c r="N29" s="29">
        <f>SUM(H29:M29)</f>
        <v>66785.329787399984</v>
      </c>
      <c r="O29" s="33">
        <v>0.13888264290045663</v>
      </c>
    </row>
    <row r="30" spans="2:15" s="15" customFormat="1" ht="12.75">
      <c r="B30" s="16"/>
      <c r="C30" s="17" t="s">
        <v>82</v>
      </c>
      <c r="D30" s="49" t="s">
        <v>83</v>
      </c>
      <c r="E30" s="49"/>
      <c r="F30" s="49"/>
      <c r="G30" s="49"/>
      <c r="H30" s="49"/>
      <c r="I30" s="49"/>
      <c r="J30" s="49"/>
      <c r="K30" s="49"/>
      <c r="L30" s="49"/>
      <c r="M30" s="49"/>
      <c r="N30" s="50"/>
      <c r="O30" s="32"/>
    </row>
    <row r="31" spans="2:15" s="15" customFormat="1" ht="12.75">
      <c r="B31" s="16"/>
      <c r="C31" s="17" t="s">
        <v>84</v>
      </c>
      <c r="D31" s="51" t="s">
        <v>85</v>
      </c>
      <c r="E31" s="51"/>
      <c r="F31" s="51"/>
      <c r="G31" s="51"/>
      <c r="H31" s="51"/>
      <c r="I31" s="51"/>
      <c r="J31" s="51"/>
      <c r="K31" s="51"/>
      <c r="L31" s="51"/>
      <c r="M31" s="51"/>
      <c r="N31" s="52"/>
      <c r="O31" s="35"/>
    </row>
    <row r="32" spans="2:15" ht="38.25">
      <c r="B32" s="18">
        <v>17</v>
      </c>
      <c r="C32" s="19" t="s">
        <v>86</v>
      </c>
      <c r="D32" s="20" t="s">
        <v>87</v>
      </c>
      <c r="E32" s="20" t="s">
        <v>88</v>
      </c>
      <c r="F32" s="21">
        <v>97.950999999999993</v>
      </c>
      <c r="G32" s="22">
        <v>0.2</v>
      </c>
      <c r="H32" s="23">
        <f>F32 * G32 * 6250.762095</f>
        <v>122453.679593469</v>
      </c>
      <c r="I32" s="23">
        <f>F32 * G32 * 13630.595236</f>
        <v>267026.08679228718</v>
      </c>
      <c r="J32" s="23">
        <f>F32 * G32 * 0</f>
        <v>0</v>
      </c>
      <c r="K32" s="23">
        <f>F32 * G32 * 5950.725515</f>
        <v>116575.902983953</v>
      </c>
      <c r="L32" s="23">
        <f>F32 * G32 * 2857.17582</f>
        <v>55972.645748963994</v>
      </c>
      <c r="M32" s="23">
        <f>F32 * G32 * 1250.152419</f>
        <v>24490.735918693801</v>
      </c>
      <c r="N32" s="29">
        <f>SUM(H32:M32)</f>
        <v>586519.05103736708</v>
      </c>
      <c r="O32" s="33">
        <v>1.2196887576784183</v>
      </c>
    </row>
    <row r="33" spans="2:15" s="15" customFormat="1" ht="12.75">
      <c r="B33" s="16"/>
      <c r="C33" s="17" t="s">
        <v>89</v>
      </c>
      <c r="D33" s="49" t="s">
        <v>90</v>
      </c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32"/>
    </row>
    <row r="34" spans="2:15" ht="25.5">
      <c r="B34" s="18">
        <v>18</v>
      </c>
      <c r="C34" s="19" t="s">
        <v>91</v>
      </c>
      <c r="D34" s="20" t="s">
        <v>92</v>
      </c>
      <c r="E34" s="20" t="s">
        <v>93</v>
      </c>
      <c r="F34" s="21">
        <v>37.590000000000003</v>
      </c>
      <c r="G34" s="22">
        <v>0.2</v>
      </c>
      <c r="H34" s="23">
        <f>F34 * G34 * 45799.93368</f>
        <v>344323.90140624007</v>
      </c>
      <c r="I34" s="23">
        <f>F34 * G34 * 27288.920963</f>
        <v>205158.10779983402</v>
      </c>
      <c r="J34" s="23">
        <f>F34 * G34 * 0</f>
        <v>0</v>
      </c>
      <c r="K34" s="23">
        <f>F34 * G34 * 43601.536863</f>
        <v>327796.35413603403</v>
      </c>
      <c r="L34" s="23">
        <f>F34 * G34 * 13277.214904</f>
        <v>99818.101648272015</v>
      </c>
      <c r="M34" s="23">
        <f>F34 * G34 * 9159.986736</f>
        <v>68864.780281248008</v>
      </c>
      <c r="N34" s="29">
        <f>SUM(H34:M34)</f>
        <v>1045961.2452716281</v>
      </c>
      <c r="O34" s="33">
        <v>2.1751163403281262</v>
      </c>
    </row>
    <row r="35" spans="2:15">
      <c r="B35" s="18">
        <v>19</v>
      </c>
      <c r="C35" s="19" t="s">
        <v>94</v>
      </c>
      <c r="D35" s="20" t="s">
        <v>95</v>
      </c>
      <c r="E35" s="20" t="s">
        <v>96</v>
      </c>
      <c r="F35" s="21">
        <v>37.590000000000003</v>
      </c>
      <c r="G35" s="22">
        <v>0.2</v>
      </c>
      <c r="H35" s="23">
        <f>F35 * G35 * 6868.288858</f>
        <v>51635.795634444003</v>
      </c>
      <c r="I35" s="23">
        <f>F35 * G35 * 167.041098</f>
        <v>1255.8149747640002</v>
      </c>
      <c r="J35" s="23">
        <f>F35 * G35 * 0</f>
        <v>0</v>
      </c>
      <c r="K35" s="23">
        <f>F35 * G35 * 6538.610993</f>
        <v>49157.277445374006</v>
      </c>
      <c r="L35" s="23">
        <f>F35 * G35 * 1576.971665</f>
        <v>11855.672977470002</v>
      </c>
      <c r="M35" s="23">
        <f>F35 * G35 * 1373.657772</f>
        <v>10327.159129896001</v>
      </c>
      <c r="N35" s="29">
        <f>SUM(H35:M35)</f>
        <v>124231.720161948</v>
      </c>
      <c r="O35" s="33">
        <v>0.2583446047670252</v>
      </c>
    </row>
    <row r="36" spans="2:15" ht="51">
      <c r="B36" s="18">
        <v>20</v>
      </c>
      <c r="C36" s="19" t="s">
        <v>97</v>
      </c>
      <c r="D36" s="20" t="s">
        <v>98</v>
      </c>
      <c r="E36" s="20" t="s">
        <v>88</v>
      </c>
      <c r="F36" s="21">
        <v>37.590000000000003</v>
      </c>
      <c r="G36" s="22">
        <v>0.2</v>
      </c>
      <c r="H36" s="23">
        <f>F36 * G36 * 7724.334416</f>
        <v>58071.546139488004</v>
      </c>
      <c r="I36" s="23">
        <f>F36 * G36 * 13792.295706</f>
        <v>103690.47911770802</v>
      </c>
      <c r="J36" s="23">
        <f>F36 * G36 * 0</f>
        <v>0</v>
      </c>
      <c r="K36" s="23">
        <f>F36 * G36 * 7353.566364</f>
        <v>55284.111924552009</v>
      </c>
      <c r="L36" s="23">
        <f>F36 * G36 * 3208.789186</f>
        <v>24123.677100348003</v>
      </c>
      <c r="M36" s="23">
        <f>F36 * G36 * 1544.866883</f>
        <v>11614.309226394</v>
      </c>
      <c r="N36" s="29">
        <f>SUM(H36:M36)</f>
        <v>252784.12350849001</v>
      </c>
      <c r="O36" s="33">
        <v>0.52567423516351408</v>
      </c>
    </row>
    <row r="37" spans="2:15" ht="25.5">
      <c r="B37" s="18">
        <v>21</v>
      </c>
      <c r="C37" s="19" t="s">
        <v>99</v>
      </c>
      <c r="D37" s="20" t="s">
        <v>100</v>
      </c>
      <c r="E37" s="20" t="s">
        <v>101</v>
      </c>
      <c r="F37" s="21">
        <v>742</v>
      </c>
      <c r="G37" s="22">
        <v>0.2</v>
      </c>
      <c r="H37" s="23">
        <f>F37 * G37 * 160.657019</f>
        <v>23841.5016196</v>
      </c>
      <c r="I37" s="23">
        <f>F37 * G37 * 3486.691414</f>
        <v>517425.00583759998</v>
      </c>
      <c r="J37" s="23">
        <f>F37 * G37 * 0.049104</f>
        <v>7.2870336000000009</v>
      </c>
      <c r="K37" s="23">
        <f>F37 * G37 * 152.945482</f>
        <v>22697.1095288</v>
      </c>
      <c r="L37" s="23">
        <f>F37 * G37 * 404.326052</f>
        <v>60001.986116800006</v>
      </c>
      <c r="M37" s="23">
        <f>F37 * G37 * 32.131404</f>
        <v>4768.3003536000006</v>
      </c>
      <c r="N37" s="29">
        <f>SUM(H37:M37)</f>
        <v>628741.19048999995</v>
      </c>
      <c r="O37" s="33">
        <v>1.3074913085493971</v>
      </c>
    </row>
    <row r="38" spans="2:15" s="12" customFormat="1" ht="15">
      <c r="B38" s="13"/>
      <c r="C38" s="14" t="s">
        <v>102</v>
      </c>
      <c r="D38" s="47" t="s">
        <v>103</v>
      </c>
      <c r="E38" s="47"/>
      <c r="F38" s="47"/>
      <c r="G38" s="47"/>
      <c r="H38" s="47"/>
      <c r="I38" s="47"/>
      <c r="J38" s="47"/>
      <c r="K38" s="47"/>
      <c r="L38" s="47"/>
      <c r="M38" s="47"/>
      <c r="N38" s="48"/>
      <c r="O38" s="34"/>
    </row>
    <row r="39" spans="2:15" s="15" customFormat="1" ht="12.75">
      <c r="B39" s="16"/>
      <c r="C39" s="17" t="s">
        <v>104</v>
      </c>
      <c r="D39" s="49" t="s">
        <v>105</v>
      </c>
      <c r="E39" s="49"/>
      <c r="F39" s="49"/>
      <c r="G39" s="49"/>
      <c r="H39" s="49"/>
      <c r="I39" s="49"/>
      <c r="J39" s="49"/>
      <c r="K39" s="49"/>
      <c r="L39" s="49"/>
      <c r="M39" s="49"/>
      <c r="N39" s="50"/>
      <c r="O39" s="32"/>
    </row>
    <row r="40" spans="2:15">
      <c r="B40" s="18">
        <v>22</v>
      </c>
      <c r="C40" s="19" t="s">
        <v>106</v>
      </c>
      <c r="D40" s="20" t="s">
        <v>107</v>
      </c>
      <c r="E40" s="20" t="s">
        <v>108</v>
      </c>
      <c r="F40" s="21">
        <v>12.6</v>
      </c>
      <c r="G40" s="22">
        <v>1</v>
      </c>
      <c r="H40" s="23">
        <f>F40 * G40 * 842.915362</f>
        <v>10620.733561199999</v>
      </c>
      <c r="I40" s="23">
        <f>F40 * G40 * 1212.173519</f>
        <v>15273.386339399998</v>
      </c>
      <c r="J40" s="23">
        <f>F40 * G40 * 0</f>
        <v>0</v>
      </c>
      <c r="K40" s="23">
        <f>F40 * G40 * 802.455424</f>
        <v>10110.938342399999</v>
      </c>
      <c r="L40" s="23">
        <f>F40 * G40 * 319.256438</f>
        <v>4022.6311188</v>
      </c>
      <c r="M40" s="23">
        <f>F40 * G40 * 168.583072</f>
        <v>2124.1467071999996</v>
      </c>
      <c r="N40" s="29">
        <f>SUM(H40:M40)</f>
        <v>42151.83606899999</v>
      </c>
      <c r="O40" s="33">
        <v>8.765635230080103E-2</v>
      </c>
    </row>
    <row r="41" spans="2:15" s="15" customFormat="1" ht="12.75">
      <c r="B41" s="16"/>
      <c r="C41" s="17" t="s">
        <v>109</v>
      </c>
      <c r="D41" s="49" t="s">
        <v>110</v>
      </c>
      <c r="E41" s="49"/>
      <c r="F41" s="49"/>
      <c r="G41" s="49"/>
      <c r="H41" s="49"/>
      <c r="I41" s="49"/>
      <c r="J41" s="49"/>
      <c r="K41" s="49"/>
      <c r="L41" s="49"/>
      <c r="M41" s="49"/>
      <c r="N41" s="50"/>
      <c r="O41" s="32"/>
    </row>
    <row r="42" spans="2:15">
      <c r="B42" s="18">
        <v>23</v>
      </c>
      <c r="C42" s="19" t="s">
        <v>111</v>
      </c>
      <c r="D42" s="20" t="s">
        <v>112</v>
      </c>
      <c r="E42" s="20" t="s">
        <v>113</v>
      </c>
      <c r="F42" s="21">
        <v>1.26</v>
      </c>
      <c r="G42" s="22">
        <v>1</v>
      </c>
      <c r="H42" s="23">
        <f>F42 * G42 * 262290.152592</f>
        <v>330485.59226592002</v>
      </c>
      <c r="I42" s="23">
        <f>F42 * G42 * 80150.832001</f>
        <v>100990.04832126001</v>
      </c>
      <c r="J42" s="23">
        <f>F42 * G42 * 0</f>
        <v>0</v>
      </c>
      <c r="K42" s="23">
        <f>F42 * G42 * 249700.225267999</f>
        <v>314622.28383767873</v>
      </c>
      <c r="L42" s="23">
        <f>F42 * G42 * 68005.21986</f>
        <v>85686.577023599995</v>
      </c>
      <c r="M42" s="23">
        <f>F42 * G42 * 52458.030518</f>
        <v>66097.118452680006</v>
      </c>
      <c r="N42" s="29">
        <f>SUM(H42:M42)</f>
        <v>897881.61990113882</v>
      </c>
      <c r="O42" s="33">
        <v>1.8671791062584508</v>
      </c>
    </row>
    <row r="43" spans="2:15" s="12" customFormat="1" ht="15">
      <c r="B43" s="13"/>
      <c r="C43" s="14" t="s">
        <v>114</v>
      </c>
      <c r="D43" s="47" t="s">
        <v>115</v>
      </c>
      <c r="E43" s="47"/>
      <c r="F43" s="47"/>
      <c r="G43" s="47"/>
      <c r="H43" s="47"/>
      <c r="I43" s="47"/>
      <c r="J43" s="47"/>
      <c r="K43" s="47"/>
      <c r="L43" s="47"/>
      <c r="M43" s="47"/>
      <c r="N43" s="48"/>
      <c r="O43" s="34"/>
    </row>
    <row r="44" spans="2:15" ht="38.25">
      <c r="B44" s="18">
        <v>24</v>
      </c>
      <c r="C44" s="19" t="s">
        <v>116</v>
      </c>
      <c r="D44" s="20" t="s">
        <v>117</v>
      </c>
      <c r="E44" s="20" t="s">
        <v>118</v>
      </c>
      <c r="F44" s="21">
        <v>0.28000000000000003</v>
      </c>
      <c r="G44" s="22">
        <v>1</v>
      </c>
      <c r="H44" s="23">
        <f>F44 * G44 * 13596.493807</f>
        <v>3807.0182659600005</v>
      </c>
      <c r="I44" s="23">
        <f>F44 * G44 * 3873.009844</f>
        <v>1084.4427563200002</v>
      </c>
      <c r="J44" s="23">
        <f>F44 * G44 * 0</f>
        <v>0</v>
      </c>
      <c r="K44" s="23">
        <f>F44 * G44 * 12943.862105</f>
        <v>3624.2813894000005</v>
      </c>
      <c r="L44" s="23">
        <f>F44 * G44 * 3495.496107</f>
        <v>978.73890996000011</v>
      </c>
      <c r="M44" s="23">
        <f>F44 * G44 * 2719.298761</f>
        <v>761.40365308000003</v>
      </c>
      <c r="N44" s="29">
        <f>SUM(H44:M44)</f>
        <v>10255.884974720002</v>
      </c>
      <c r="O44" s="33">
        <v>2.1327504335254831E-2</v>
      </c>
    </row>
    <row r="45" spans="2:15" s="12" customFormat="1" ht="15">
      <c r="B45" s="13"/>
      <c r="C45" s="14" t="s">
        <v>119</v>
      </c>
      <c r="D45" s="47" t="s">
        <v>120</v>
      </c>
      <c r="E45" s="47"/>
      <c r="F45" s="47"/>
      <c r="G45" s="47"/>
      <c r="H45" s="47"/>
      <c r="I45" s="47"/>
      <c r="J45" s="47"/>
      <c r="K45" s="47"/>
      <c r="L45" s="47"/>
      <c r="M45" s="47"/>
      <c r="N45" s="48"/>
      <c r="O45" s="34"/>
    </row>
    <row r="46" spans="2:15" s="15" customFormat="1" ht="12.75">
      <c r="B46" s="16"/>
      <c r="C46" s="17" t="s">
        <v>121</v>
      </c>
      <c r="D46" s="49" t="s">
        <v>122</v>
      </c>
      <c r="E46" s="49"/>
      <c r="F46" s="49"/>
      <c r="G46" s="49"/>
      <c r="H46" s="49"/>
      <c r="I46" s="49"/>
      <c r="J46" s="49"/>
      <c r="K46" s="49"/>
      <c r="L46" s="49"/>
      <c r="M46" s="49"/>
      <c r="N46" s="50"/>
      <c r="O46" s="32"/>
    </row>
    <row r="47" spans="2:15">
      <c r="B47" s="18">
        <v>25</v>
      </c>
      <c r="C47" s="19" t="s">
        <v>123</v>
      </c>
      <c r="D47" s="20" t="s">
        <v>124</v>
      </c>
      <c r="E47" s="20" t="s">
        <v>108</v>
      </c>
      <c r="F47" s="21">
        <v>56</v>
      </c>
      <c r="G47" s="22">
        <v>0.2</v>
      </c>
      <c r="H47" s="23">
        <f>F47 * G47 * 212.970637</f>
        <v>2385.2711344000004</v>
      </c>
      <c r="I47" s="23">
        <f>F47 * G47 * 140.059729</f>
        <v>1568.6689648000001</v>
      </c>
      <c r="J47" s="23">
        <f>F47 * G47 * 0</f>
        <v>0</v>
      </c>
      <c r="K47" s="23">
        <f>F47 * G47 * 202.748046</f>
        <v>2270.7781152000002</v>
      </c>
      <c r="L47" s="23">
        <f>F47 * G47 * 63.128303</f>
        <v>707.03699360000007</v>
      </c>
      <c r="M47" s="23">
        <f>F47 * G47 * 42.594127</f>
        <v>477.05422240000007</v>
      </c>
      <c r="N47" s="29">
        <f>SUM(H47:M47)</f>
        <v>7408.8094304000006</v>
      </c>
      <c r="O47" s="33">
        <v>1.5406902050424644E-2</v>
      </c>
    </row>
    <row r="48" spans="2:15" s="15" customFormat="1" ht="12.75">
      <c r="B48" s="16"/>
      <c r="C48" s="17" t="s">
        <v>125</v>
      </c>
      <c r="D48" s="49" t="s">
        <v>126</v>
      </c>
      <c r="E48" s="49"/>
      <c r="F48" s="49"/>
      <c r="G48" s="49"/>
      <c r="H48" s="49"/>
      <c r="I48" s="49"/>
      <c r="J48" s="49"/>
      <c r="K48" s="49"/>
      <c r="L48" s="49"/>
      <c r="M48" s="49"/>
      <c r="N48" s="50"/>
      <c r="O48" s="32"/>
    </row>
    <row r="49" spans="2:15">
      <c r="B49" s="18">
        <v>26</v>
      </c>
      <c r="C49" s="19" t="s">
        <v>127</v>
      </c>
      <c r="D49" s="20" t="s">
        <v>128</v>
      </c>
      <c r="E49" s="20" t="s">
        <v>108</v>
      </c>
      <c r="F49" s="21">
        <v>56</v>
      </c>
      <c r="G49" s="22">
        <v>0.2</v>
      </c>
      <c r="H49" s="23">
        <f>F49 * G49 * 160.299768</f>
        <v>1795.3574016000002</v>
      </c>
      <c r="I49" s="23">
        <f>F49 * G49 * 88.101763</f>
        <v>986.73974560000011</v>
      </c>
      <c r="J49" s="23">
        <f>F49 * G49 * 0</f>
        <v>0</v>
      </c>
      <c r="K49" s="23">
        <f>F49 * G49 * 152.605379</f>
        <v>1709.1802448000001</v>
      </c>
      <c r="L49" s="23">
        <f>F49 * G49 * 45.688554</f>
        <v>511.7118048000001</v>
      </c>
      <c r="M49" s="23">
        <f>F49 * G49 * 32.059954</f>
        <v>359.07148480000001</v>
      </c>
      <c r="N49" s="29">
        <f>SUM(H49:M49)</f>
        <v>5362.0606816</v>
      </c>
      <c r="O49" s="33">
        <v>1.1150609890283566E-2</v>
      </c>
    </row>
    <row r="50" spans="2:15" s="12" customFormat="1" ht="15">
      <c r="B50" s="13"/>
      <c r="C50" s="14" t="s">
        <v>129</v>
      </c>
      <c r="D50" s="47" t="s">
        <v>130</v>
      </c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34"/>
    </row>
    <row r="51" spans="2:15" s="15" customFormat="1" ht="12.75">
      <c r="B51" s="16"/>
      <c r="C51" s="17" t="s">
        <v>131</v>
      </c>
      <c r="D51" s="49" t="s">
        <v>132</v>
      </c>
      <c r="E51" s="49"/>
      <c r="F51" s="49"/>
      <c r="G51" s="49"/>
      <c r="H51" s="49"/>
      <c r="I51" s="49"/>
      <c r="J51" s="49"/>
      <c r="K51" s="49"/>
      <c r="L51" s="49"/>
      <c r="M51" s="49"/>
      <c r="N51" s="50"/>
      <c r="O51" s="32"/>
    </row>
    <row r="52" spans="2:15" s="15" customFormat="1" ht="12.75">
      <c r="B52" s="16"/>
      <c r="C52" s="17" t="s">
        <v>133</v>
      </c>
      <c r="D52" s="51" t="s">
        <v>134</v>
      </c>
      <c r="E52" s="51"/>
      <c r="F52" s="51"/>
      <c r="G52" s="51"/>
      <c r="H52" s="51"/>
      <c r="I52" s="51"/>
      <c r="J52" s="51"/>
      <c r="K52" s="51"/>
      <c r="L52" s="51"/>
      <c r="M52" s="51"/>
      <c r="N52" s="52"/>
      <c r="O52" s="35"/>
    </row>
    <row r="53" spans="2:15">
      <c r="B53" s="18">
        <v>27</v>
      </c>
      <c r="C53" s="19" t="s">
        <v>135</v>
      </c>
      <c r="D53" s="20" t="s">
        <v>136</v>
      </c>
      <c r="E53" s="20" t="s">
        <v>137</v>
      </c>
      <c r="F53" s="21">
        <v>1.75</v>
      </c>
      <c r="G53" s="22">
        <v>1</v>
      </c>
      <c r="H53" s="23">
        <f>F53 * G53 * 4797.070499</f>
        <v>8394.8733732500004</v>
      </c>
      <c r="I53" s="23">
        <f>F53 * G53 * 62689.717848</f>
        <v>109707.006234</v>
      </c>
      <c r="J53" s="23">
        <f>F53 * G53 * 139.50288</f>
        <v>244.13004000000001</v>
      </c>
      <c r="K53" s="23">
        <f>F53 * G53 * 4619.379094</f>
        <v>8083.9134144999998</v>
      </c>
      <c r="L53" s="23">
        <f>F53 * G53 * 7724.30151599999</f>
        <v>13517.527652999983</v>
      </c>
      <c r="M53" s="23">
        <f>F53 * G53 * 970.457793</f>
        <v>1698.3011377500002</v>
      </c>
      <c r="N53" s="29">
        <f>SUM(H53:M53)</f>
        <v>141645.75185249999</v>
      </c>
      <c r="O53" s="33">
        <v>0.29455774846842014</v>
      </c>
    </row>
    <row r="54" spans="2:15" s="15" customFormat="1" ht="12.75">
      <c r="B54" s="16"/>
      <c r="C54" s="17" t="s">
        <v>138</v>
      </c>
      <c r="D54" s="49" t="s">
        <v>139</v>
      </c>
      <c r="E54" s="49"/>
      <c r="F54" s="49"/>
      <c r="G54" s="49"/>
      <c r="H54" s="49"/>
      <c r="I54" s="49"/>
      <c r="J54" s="49"/>
      <c r="K54" s="49"/>
      <c r="L54" s="49"/>
      <c r="M54" s="49"/>
      <c r="N54" s="50"/>
      <c r="O54" s="32"/>
    </row>
    <row r="55" spans="2:15" s="15" customFormat="1" ht="12.75">
      <c r="B55" s="16"/>
      <c r="C55" s="17" t="s">
        <v>140</v>
      </c>
      <c r="D55" s="51" t="s">
        <v>141</v>
      </c>
      <c r="E55" s="51"/>
      <c r="F55" s="51"/>
      <c r="G55" s="51"/>
      <c r="H55" s="51"/>
      <c r="I55" s="51"/>
      <c r="J55" s="51"/>
      <c r="K55" s="51"/>
      <c r="L55" s="51"/>
      <c r="M55" s="51"/>
      <c r="N55" s="52"/>
      <c r="O55" s="35"/>
    </row>
    <row r="56" spans="2:15" ht="25.5">
      <c r="B56" s="18">
        <v>28</v>
      </c>
      <c r="C56" s="19" t="s">
        <v>142</v>
      </c>
      <c r="D56" s="20" t="s">
        <v>143</v>
      </c>
      <c r="E56" s="20" t="s">
        <v>144</v>
      </c>
      <c r="F56" s="21">
        <v>34.832000000000001</v>
      </c>
      <c r="G56" s="22">
        <v>0.1</v>
      </c>
      <c r="H56" s="23">
        <f>F56 * G56 * 9237.848513</f>
        <v>32177.273940481602</v>
      </c>
      <c r="I56" s="23">
        <f>F56 * G56 * 121690.466232</f>
        <v>423872.23197930242</v>
      </c>
      <c r="J56" s="23">
        <f>F56 * G56 * 265.656336</f>
        <v>925.33414955520004</v>
      </c>
      <c r="K56" s="23">
        <f>F56 * G56 * 8889.05414699999</f>
        <v>30962.353404830366</v>
      </c>
      <c r="L56" s="23">
        <f>F56 * G56 * 14975.774962</f>
        <v>52163.6193476384</v>
      </c>
      <c r="M56" s="23">
        <f>F56 * G56 * 1867.44835</f>
        <v>6504.6960927199998</v>
      </c>
      <c r="N56" s="29">
        <f>SUM(H56:M56)</f>
        <v>546605.50891452807</v>
      </c>
      <c r="O56" s="33">
        <v>1.136687023088131</v>
      </c>
    </row>
    <row r="57" spans="2:15" s="15" customFormat="1" ht="12.75">
      <c r="B57" s="16"/>
      <c r="C57" s="17" t="s">
        <v>145</v>
      </c>
      <c r="D57" s="49" t="s">
        <v>146</v>
      </c>
      <c r="E57" s="49"/>
      <c r="F57" s="49"/>
      <c r="G57" s="49"/>
      <c r="H57" s="49"/>
      <c r="I57" s="49"/>
      <c r="J57" s="49"/>
      <c r="K57" s="49"/>
      <c r="L57" s="49"/>
      <c r="M57" s="49"/>
      <c r="N57" s="50"/>
      <c r="O57" s="32"/>
    </row>
    <row r="58" spans="2:15" ht="25.5">
      <c r="B58" s="18">
        <v>29</v>
      </c>
      <c r="C58" s="19" t="s">
        <v>147</v>
      </c>
      <c r="D58" s="20" t="s">
        <v>148</v>
      </c>
      <c r="E58" s="20" t="s">
        <v>149</v>
      </c>
      <c r="F58" s="21">
        <v>0.56000000000000005</v>
      </c>
      <c r="G58" s="22">
        <v>0.1</v>
      </c>
      <c r="H58" s="23">
        <f>F58 * G58 * 37936.63512</f>
        <v>2124.4515667200003</v>
      </c>
      <c r="I58" s="23">
        <f>F58 * G58 * 62665.196256</f>
        <v>3509.2509903360005</v>
      </c>
      <c r="J58" s="23">
        <f>F58 * G58 * 313.995</f>
        <v>17.583720000000003</v>
      </c>
      <c r="K58" s="23">
        <f>F58 * G58 * 36378.516527</f>
        <v>2037.1969255120002</v>
      </c>
      <c r="L58" s="23">
        <f>F58 * G58 * 15290.841725</f>
        <v>856.28713660000017</v>
      </c>
      <c r="M58" s="23">
        <f>F58 * G58 * 7642.545489</f>
        <v>427.98254738400004</v>
      </c>
      <c r="N58" s="29">
        <f>SUM(H58:M58)</f>
        <v>8972.7528865519998</v>
      </c>
      <c r="O58" s="33">
        <v>1.8659182172851212E-2</v>
      </c>
    </row>
    <row r="59" spans="2:15">
      <c r="B59" s="18">
        <v>30</v>
      </c>
      <c r="C59" s="19" t="s">
        <v>150</v>
      </c>
      <c r="D59" s="20" t="s">
        <v>151</v>
      </c>
      <c r="E59" s="20" t="s">
        <v>152</v>
      </c>
      <c r="F59" s="21">
        <v>22.75</v>
      </c>
      <c r="G59" s="22">
        <v>1</v>
      </c>
      <c r="H59" s="23">
        <f>F59 * G59 * 403.523312</f>
        <v>9180.1553480000002</v>
      </c>
      <c r="I59" s="23">
        <f>F59 * G59 * 119.395596</f>
        <v>2716.2498089999999</v>
      </c>
      <c r="J59" s="23">
        <f>F59 * G59 * 0</f>
        <v>0</v>
      </c>
      <c r="K59" s="23">
        <f>F59 * G59 * 384.154192999999</f>
        <v>8739.5078907499774</v>
      </c>
      <c r="L59" s="23">
        <f>F59 * G59 * 104.210554</f>
        <v>2370.7901035</v>
      </c>
      <c r="M59" s="23">
        <f>F59 * G59 * 80.704662</f>
        <v>1836.0310605</v>
      </c>
      <c r="N59" s="29">
        <f>SUM(H59:M59)</f>
        <v>24842.734211749979</v>
      </c>
      <c r="O59" s="33">
        <v>5.1661414193575846E-2</v>
      </c>
    </row>
    <row r="60" spans="2:15" s="15" customFormat="1" ht="12.75">
      <c r="B60" s="16"/>
      <c r="C60" s="17" t="s">
        <v>153</v>
      </c>
      <c r="D60" s="49" t="s">
        <v>154</v>
      </c>
      <c r="E60" s="49"/>
      <c r="F60" s="49"/>
      <c r="G60" s="49"/>
      <c r="H60" s="49"/>
      <c r="I60" s="49"/>
      <c r="J60" s="49"/>
      <c r="K60" s="49"/>
      <c r="L60" s="49"/>
      <c r="M60" s="49"/>
      <c r="N60" s="50"/>
      <c r="O60" s="32">
        <v>0</v>
      </c>
    </row>
    <row r="61" spans="2:15" ht="25.5">
      <c r="B61" s="18">
        <v>31</v>
      </c>
      <c r="C61" s="19" t="s">
        <v>155</v>
      </c>
      <c r="D61" s="20" t="s">
        <v>156</v>
      </c>
      <c r="E61" s="20" t="s">
        <v>157</v>
      </c>
      <c r="F61" s="21">
        <v>1.0920000000000001</v>
      </c>
      <c r="G61" s="22">
        <v>0.2</v>
      </c>
      <c r="H61" s="23">
        <f>F61 * G61 * 3830.379824</f>
        <v>836.5549535616002</v>
      </c>
      <c r="I61" s="23">
        <f>F61 * G61 * 2206.413052</f>
        <v>481.88061055680004</v>
      </c>
      <c r="J61" s="23">
        <f>F61 * G61 * 0.7744</f>
        <v>0.16912896000000002</v>
      </c>
      <c r="K61" s="23">
        <f>F61 * G61 * 3646.521593</f>
        <v>796.4003159112001</v>
      </c>
      <c r="L61" s="23">
        <f>F61 * G61 * 1102.49239</f>
        <v>240.78433797600002</v>
      </c>
      <c r="M61" s="23">
        <f>F61 * G61 * 766.075965</f>
        <v>167.31099075600002</v>
      </c>
      <c r="N61" s="29">
        <f>SUM(H61:M61)</f>
        <v>2523.1003377216007</v>
      </c>
      <c r="O61" s="33">
        <v>5.2468834745788952E-3</v>
      </c>
    </row>
    <row r="62" spans="2:15" ht="38.25">
      <c r="B62" s="18">
        <v>32</v>
      </c>
      <c r="C62" s="19" t="s">
        <v>158</v>
      </c>
      <c r="D62" s="20" t="s">
        <v>159</v>
      </c>
      <c r="E62" s="20" t="s">
        <v>160</v>
      </c>
      <c r="F62" s="21">
        <v>10.5</v>
      </c>
      <c r="G62" s="22">
        <v>0.2</v>
      </c>
      <c r="H62" s="23">
        <f>F62 * G62 * 34349.95026</f>
        <v>72134.895546</v>
      </c>
      <c r="I62" s="23">
        <f>F62 * G62 * 13595.225866</f>
        <v>28549.974318600001</v>
      </c>
      <c r="J62" s="23">
        <f>F62 * G62 * 0</f>
        <v>0</v>
      </c>
      <c r="K62" s="23">
        <f>F62 * G62 * 32701.152648</f>
        <v>68672.420560800005</v>
      </c>
      <c r="L62" s="23">
        <f>F62 * G62 * 9232.971636</f>
        <v>19389.240435600001</v>
      </c>
      <c r="M62" s="23">
        <f>F62 * G62 * 6869.990052</f>
        <v>14426.979109200001</v>
      </c>
      <c r="N62" s="29">
        <f>SUM(H62:M62)</f>
        <v>203173.50997020002</v>
      </c>
      <c r="O62" s="33">
        <v>0.4225070703678287</v>
      </c>
    </row>
    <row r="63" spans="2:15" s="15" customFormat="1" ht="12.75">
      <c r="B63" s="16"/>
      <c r="C63" s="17" t="s">
        <v>161</v>
      </c>
      <c r="D63" s="49" t="s">
        <v>162</v>
      </c>
      <c r="E63" s="49"/>
      <c r="F63" s="49"/>
      <c r="G63" s="49"/>
      <c r="H63" s="49"/>
      <c r="I63" s="49"/>
      <c r="J63" s="49"/>
      <c r="K63" s="49"/>
      <c r="L63" s="49"/>
      <c r="M63" s="49"/>
      <c r="N63" s="50"/>
      <c r="O63" s="32"/>
    </row>
    <row r="64" spans="2:15" ht="25.5">
      <c r="B64" s="18">
        <v>33</v>
      </c>
      <c r="C64" s="19" t="s">
        <v>163</v>
      </c>
      <c r="D64" s="20" t="s">
        <v>164</v>
      </c>
      <c r="E64" s="20" t="s">
        <v>165</v>
      </c>
      <c r="F64" s="21">
        <v>13.65</v>
      </c>
      <c r="G64" s="22">
        <v>0.1</v>
      </c>
      <c r="H64" s="23">
        <f>F64 * G64 * 24897.547109</f>
        <v>33985.151803785004</v>
      </c>
      <c r="I64" s="23">
        <f>F64 * G64 * 79242.711475</f>
        <v>108166.30116337503</v>
      </c>
      <c r="J64" s="23">
        <f>F64 * G64 * 0</f>
        <v>0</v>
      </c>
      <c r="K64" s="23">
        <f>F64 * G64 * 23702.464848</f>
        <v>32353.864517520004</v>
      </c>
      <c r="L64" s="23">
        <f>F64 * G64 * 14012.745566</f>
        <v>19127.397697590004</v>
      </c>
      <c r="M64" s="23">
        <f>F64 * G64 * 4979.509422</f>
        <v>6797.0303610300016</v>
      </c>
      <c r="N64" s="29">
        <f>SUM(H64:M64)</f>
        <v>200429.74554330003</v>
      </c>
      <c r="O64" s="33">
        <v>0.41680130749569538</v>
      </c>
    </row>
    <row r="65" spans="2:15" s="15" customFormat="1" ht="12.75">
      <c r="B65" s="16"/>
      <c r="C65" s="17" t="s">
        <v>166</v>
      </c>
      <c r="D65" s="49" t="s">
        <v>167</v>
      </c>
      <c r="E65" s="49"/>
      <c r="F65" s="49"/>
      <c r="G65" s="49"/>
      <c r="H65" s="49"/>
      <c r="I65" s="49"/>
      <c r="J65" s="49"/>
      <c r="K65" s="49"/>
      <c r="L65" s="49"/>
      <c r="M65" s="49"/>
      <c r="N65" s="50"/>
      <c r="O65" s="32"/>
    </row>
    <row r="66" spans="2:15" ht="25.5">
      <c r="B66" s="18">
        <v>34</v>
      </c>
      <c r="C66" s="19" t="s">
        <v>168</v>
      </c>
      <c r="D66" s="20" t="s">
        <v>169</v>
      </c>
      <c r="E66" s="20" t="s">
        <v>157</v>
      </c>
      <c r="F66" s="21">
        <v>0.84</v>
      </c>
      <c r="G66" s="22">
        <v>0.2</v>
      </c>
      <c r="H66" s="23">
        <f>F66 * G66 * 11375.60342</f>
        <v>1911.1013745600001</v>
      </c>
      <c r="I66" s="23">
        <f>F66 * G66 * 5622.98964</f>
        <v>944.66225952000002</v>
      </c>
      <c r="J66" s="23">
        <f>F66 * G66 * 0</f>
        <v>0</v>
      </c>
      <c r="K66" s="23">
        <f>F66 * G66 * 10829.574456</f>
        <v>1819.3685086080002</v>
      </c>
      <c r="L66" s="23">
        <f>F66 * G66 * 3175.89690499999</f>
        <v>533.55068003999838</v>
      </c>
      <c r="M66" s="23">
        <f>F66 * G66 * 2275.120684</f>
        <v>382.22027491200004</v>
      </c>
      <c r="N66" s="29">
        <f>SUM(H66:M66)</f>
        <v>5590.9030976399981</v>
      </c>
      <c r="O66" s="33">
        <v>1.1626496430763853E-2</v>
      </c>
    </row>
    <row r="67" spans="2:15">
      <c r="B67" s="18">
        <v>35</v>
      </c>
      <c r="C67" s="19" t="s">
        <v>170</v>
      </c>
      <c r="D67" s="20" t="s">
        <v>171</v>
      </c>
      <c r="E67" s="20" t="s">
        <v>172</v>
      </c>
      <c r="F67" s="21">
        <v>0.84</v>
      </c>
      <c r="G67" s="22">
        <v>0.2</v>
      </c>
      <c r="H67" s="23">
        <f>F67 * G67 * 11208.98088</f>
        <v>1883.1087878399999</v>
      </c>
      <c r="I67" s="23">
        <f>F67 * G67 * 20253.4656</f>
        <v>3402.5822208</v>
      </c>
      <c r="J67" s="23">
        <f>F67 * G67 * 0</f>
        <v>0</v>
      </c>
      <c r="K67" s="23">
        <f>F67 * G67 * 10670.949798</f>
        <v>1792.719566064</v>
      </c>
      <c r="L67" s="23">
        <f>F67 * G67 * 4681.582804</f>
        <v>786.505911072</v>
      </c>
      <c r="M67" s="23">
        <f>F67 * G67 * 2241.796176</f>
        <v>376.62175756800002</v>
      </c>
      <c r="N67" s="29">
        <f>SUM(H67:M67)</f>
        <v>8241.5382433440009</v>
      </c>
      <c r="O67" s="33">
        <v>1.7138593407331624E-2</v>
      </c>
    </row>
    <row r="68" spans="2:15">
      <c r="B68" s="18">
        <v>36</v>
      </c>
      <c r="C68" s="19" t="s">
        <v>173</v>
      </c>
      <c r="D68" s="20" t="s">
        <v>174</v>
      </c>
      <c r="E68" s="20" t="s">
        <v>175</v>
      </c>
      <c r="F68" s="21">
        <v>0.84</v>
      </c>
      <c r="G68" s="22">
        <v>0.2</v>
      </c>
      <c r="H68" s="23">
        <f>F68 * G68 * 12234.139528</f>
        <v>2055.3354407040001</v>
      </c>
      <c r="I68" s="23">
        <f>F68 * G68 * 11125.803881</f>
        <v>1869.135052008</v>
      </c>
      <c r="J68" s="23">
        <f>F68 * G68 * 0</f>
        <v>0</v>
      </c>
      <c r="K68" s="23">
        <f>F68 * G68 * 11646.9008299999</f>
        <v>1956.6793394399833</v>
      </c>
      <c r="L68" s="23">
        <f>F68 * G68 * 3951.362412</f>
        <v>663.828885216</v>
      </c>
      <c r="M68" s="23">
        <f>F68 * G68 * 2446.827906</f>
        <v>411.06708820800003</v>
      </c>
      <c r="N68" s="29">
        <f>SUM(H68:M68)</f>
        <v>6956.0458055759836</v>
      </c>
      <c r="O68" s="33">
        <v>1.4465362807825684E-2</v>
      </c>
    </row>
    <row r="69" spans="2:15" s="12" customFormat="1" ht="15">
      <c r="B69" s="13"/>
      <c r="C69" s="14" t="s">
        <v>176</v>
      </c>
      <c r="D69" s="47" t="s">
        <v>177</v>
      </c>
      <c r="E69" s="47"/>
      <c r="F69" s="47"/>
      <c r="G69" s="47"/>
      <c r="H69" s="47"/>
      <c r="I69" s="47"/>
      <c r="J69" s="47"/>
      <c r="K69" s="47"/>
      <c r="L69" s="47"/>
      <c r="M69" s="47"/>
      <c r="N69" s="48"/>
      <c r="O69" s="34"/>
    </row>
    <row r="70" spans="2:15" s="15" customFormat="1" ht="12.75">
      <c r="B70" s="16"/>
      <c r="C70" s="17" t="s">
        <v>178</v>
      </c>
      <c r="D70" s="49" t="s">
        <v>179</v>
      </c>
      <c r="E70" s="49"/>
      <c r="F70" s="49"/>
      <c r="G70" s="49"/>
      <c r="H70" s="49"/>
      <c r="I70" s="49"/>
      <c r="J70" s="49"/>
      <c r="K70" s="49"/>
      <c r="L70" s="49"/>
      <c r="M70" s="49"/>
      <c r="N70" s="50"/>
      <c r="O70" s="32"/>
    </row>
    <row r="71" spans="2:15" ht="25.5">
      <c r="B71" s="18">
        <v>37</v>
      </c>
      <c r="C71" s="19" t="s">
        <v>180</v>
      </c>
      <c r="D71" s="20" t="s">
        <v>181</v>
      </c>
      <c r="E71" s="20" t="s">
        <v>182</v>
      </c>
      <c r="F71" s="21">
        <v>0.42</v>
      </c>
      <c r="G71" s="22">
        <v>0.2</v>
      </c>
      <c r="H71" s="23">
        <f>F71 * G71 * 58733.498493</f>
        <v>4933.6138734120004</v>
      </c>
      <c r="I71" s="23">
        <f>F71 * G71 * 6082.498089</f>
        <v>510.92983947599998</v>
      </c>
      <c r="J71" s="23">
        <f>F71 * G71 * 13.299</f>
        <v>1.117116</v>
      </c>
      <c r="K71" s="23">
        <f>F71 * G71 * 55914.2905649999</f>
        <v>4696.8004074599921</v>
      </c>
      <c r="L71" s="23">
        <f>F71 * G71 * 13977.725157</f>
        <v>1174.1289131880001</v>
      </c>
      <c r="M71" s="23">
        <f>F71 * G71 * 11746.699699</f>
        <v>986.72277471600012</v>
      </c>
      <c r="N71" s="29">
        <f t="shared" ref="N71:N82" si="2">SUM(H71:M71)</f>
        <v>12303.312924251994</v>
      </c>
      <c r="O71" s="33">
        <v>2.558520891924736E-2</v>
      </c>
    </row>
    <row r="72" spans="2:15" ht="25.5">
      <c r="B72" s="18">
        <v>38</v>
      </c>
      <c r="C72" s="19" t="s">
        <v>183</v>
      </c>
      <c r="D72" s="20" t="s">
        <v>184</v>
      </c>
      <c r="E72" s="20" t="s">
        <v>182</v>
      </c>
      <c r="F72" s="21">
        <v>0.42</v>
      </c>
      <c r="G72" s="22">
        <v>0.2</v>
      </c>
      <c r="H72" s="23">
        <f>F72 * G72 * 77474.196242</f>
        <v>6507.8324843280006</v>
      </c>
      <c r="I72" s="23">
        <f>F72 * G72 * 9022.485705</f>
        <v>757.88879922000001</v>
      </c>
      <c r="J72" s="23">
        <f>F72 * G72 * 17.5956</f>
        <v>1.4780304000000002</v>
      </c>
      <c r="K72" s="23">
        <f>F72 * G72 * 73755.434822</f>
        <v>6195.456525048</v>
      </c>
      <c r="L72" s="23">
        <f>F72 * G72 * 18543.1601959999</f>
        <v>1557.6254564639917</v>
      </c>
      <c r="M72" s="23">
        <f>F72 * G72 * 15494.839248</f>
        <v>1301.5664968320002</v>
      </c>
      <c r="N72" s="29">
        <f t="shared" si="2"/>
        <v>16321.847792291992</v>
      </c>
      <c r="O72" s="33">
        <v>3.3941905589574009E-2</v>
      </c>
    </row>
    <row r="73" spans="2:15">
      <c r="B73" s="18">
        <v>39</v>
      </c>
      <c r="C73" s="19" t="s">
        <v>185</v>
      </c>
      <c r="D73" s="20" t="s">
        <v>186</v>
      </c>
      <c r="E73" s="20" t="s">
        <v>187</v>
      </c>
      <c r="F73" s="21">
        <v>1.4</v>
      </c>
      <c r="G73" s="22">
        <v>0.2</v>
      </c>
      <c r="H73" s="23">
        <f>F73 * G73 * 42392.925192</f>
        <v>11870.019053759999</v>
      </c>
      <c r="I73" s="23">
        <f>F73 * G73 * 39500.744873</f>
        <v>11060.208564439999</v>
      </c>
      <c r="J73" s="23">
        <f t="shared" ref="J73:J80" si="3">F73 * G73 * 0</f>
        <v>0</v>
      </c>
      <c r="K73" s="23">
        <f>F73 * G73 * 40358.064783</f>
        <v>11300.258139239999</v>
      </c>
      <c r="L73" s="23">
        <f>F73 * G73 * 13792.048748</f>
        <v>3861.7736494399992</v>
      </c>
      <c r="M73" s="23">
        <f>F73 * G73 * 8478.585038</f>
        <v>2374.0038106399998</v>
      </c>
      <c r="N73" s="29">
        <f t="shared" si="2"/>
        <v>40466.263217519998</v>
      </c>
      <c r="O73" s="33">
        <v>8.4151139207446393E-2</v>
      </c>
    </row>
    <row r="74" spans="2:15" ht="38.25">
      <c r="B74" s="18">
        <v>40</v>
      </c>
      <c r="C74" s="19" t="s">
        <v>188</v>
      </c>
      <c r="D74" s="20" t="s">
        <v>189</v>
      </c>
      <c r="E74" s="20" t="s">
        <v>190</v>
      </c>
      <c r="F74" s="21">
        <v>0.7</v>
      </c>
      <c r="G74" s="22">
        <v>0.2</v>
      </c>
      <c r="H74" s="23">
        <f>F74 * G74 * 16589.291702</f>
        <v>2322.5008382799997</v>
      </c>
      <c r="I74" s="23">
        <f>F74 * G74 * 13708.955158</f>
        <v>1919.2537221199998</v>
      </c>
      <c r="J74" s="23">
        <f t="shared" si="3"/>
        <v>0</v>
      </c>
      <c r="K74" s="23">
        <f>F74 * G74 * 15793.0057</f>
        <v>2211.0207979999996</v>
      </c>
      <c r="L74" s="23">
        <f>F74 * G74 * 5212.661201</f>
        <v>729.77256813999986</v>
      </c>
      <c r="M74" s="23">
        <f>F74 * G74 * 3317.85834</f>
        <v>464.5001676</v>
      </c>
      <c r="N74" s="29">
        <f t="shared" si="2"/>
        <v>7647.0480941399992</v>
      </c>
      <c r="O74" s="33">
        <v>1.5902328446709753E-2</v>
      </c>
    </row>
    <row r="75" spans="2:15" ht="25.5">
      <c r="B75" s="18">
        <v>41</v>
      </c>
      <c r="C75" s="19" t="s">
        <v>191</v>
      </c>
      <c r="D75" s="20" t="s">
        <v>192</v>
      </c>
      <c r="E75" s="20" t="s">
        <v>193</v>
      </c>
      <c r="F75" s="21">
        <v>1.4</v>
      </c>
      <c r="G75" s="22">
        <v>0.2</v>
      </c>
      <c r="H75" s="23">
        <f>F75 * G75 * 1264.554504</f>
        <v>354.07526111999994</v>
      </c>
      <c r="I75" s="23">
        <f>F75 * G75 * 336.965184</f>
        <v>94.35025152</v>
      </c>
      <c r="J75" s="23">
        <f t="shared" si="3"/>
        <v>0</v>
      </c>
      <c r="K75" s="23">
        <f>F75 * G75 * 1203.855888</f>
        <v>337.07964863999996</v>
      </c>
      <c r="L75" s="23">
        <f>F75 * G75 * 322.649223</f>
        <v>90.341782439999989</v>
      </c>
      <c r="M75" s="23">
        <f>F75 * G75 * 252.910901</f>
        <v>70.815052279999989</v>
      </c>
      <c r="N75" s="29">
        <f t="shared" si="2"/>
        <v>946.66199599999993</v>
      </c>
      <c r="O75" s="33">
        <v>1.968619760603565E-3</v>
      </c>
    </row>
    <row r="76" spans="2:15" ht="25.5">
      <c r="B76" s="18">
        <v>42</v>
      </c>
      <c r="C76" s="19" t="s">
        <v>194</v>
      </c>
      <c r="D76" s="20" t="s">
        <v>195</v>
      </c>
      <c r="E76" s="20" t="s">
        <v>196</v>
      </c>
      <c r="F76" s="21">
        <v>7</v>
      </c>
      <c r="G76" s="22">
        <v>0.2</v>
      </c>
      <c r="H76" s="23">
        <f>F76 * G76 * 47.07772</f>
        <v>65.908808000000008</v>
      </c>
      <c r="I76" s="23">
        <f>F76 * G76 * 65.476429</f>
        <v>91.667000600000009</v>
      </c>
      <c r="J76" s="23">
        <f t="shared" si="3"/>
        <v>0</v>
      </c>
      <c r="K76" s="23">
        <f>F76 * G76 * 44.817989</f>
        <v>62.745184600000002</v>
      </c>
      <c r="L76" s="23">
        <f>F76 * G76 * 17.5961</f>
        <v>24.634540000000001</v>
      </c>
      <c r="M76" s="23">
        <f>F76 * G76 * 9.415544</f>
        <v>13.181761600000002</v>
      </c>
      <c r="N76" s="29">
        <f t="shared" si="2"/>
        <v>258.13729480000006</v>
      </c>
      <c r="O76" s="33">
        <v>5.3680635922774284E-4</v>
      </c>
    </row>
    <row r="77" spans="2:15">
      <c r="B77" s="18">
        <v>43</v>
      </c>
      <c r="C77" s="19" t="s">
        <v>197</v>
      </c>
      <c r="D77" s="20" t="s">
        <v>198</v>
      </c>
      <c r="E77" s="20" t="s">
        <v>199</v>
      </c>
      <c r="F77" s="21">
        <v>7</v>
      </c>
      <c r="G77" s="22">
        <v>1</v>
      </c>
      <c r="H77" s="23">
        <f>F77 * G77 * 118.868123</f>
        <v>832.07686100000001</v>
      </c>
      <c r="I77" s="23">
        <f>F77 * G77 * 85.880167</f>
        <v>601.16116899999997</v>
      </c>
      <c r="J77" s="23">
        <f t="shared" si="3"/>
        <v>0</v>
      </c>
      <c r="K77" s="23">
        <f>F77 * G77 * 113.162453</f>
        <v>792.13717099999997</v>
      </c>
      <c r="L77" s="23">
        <f>F77 * G77 * 36.0477009999999</f>
        <v>252.33390699999927</v>
      </c>
      <c r="M77" s="23">
        <f>F77 * G77 * 23.773625</f>
        <v>166.41537499999998</v>
      </c>
      <c r="N77" s="29">
        <f t="shared" si="2"/>
        <v>2644.1244829999991</v>
      </c>
      <c r="O77" s="33">
        <v>5.4985578049226809E-3</v>
      </c>
    </row>
    <row r="78" spans="2:15">
      <c r="B78" s="18">
        <v>44</v>
      </c>
      <c r="C78" s="19" t="s">
        <v>200</v>
      </c>
      <c r="D78" s="20" t="s">
        <v>201</v>
      </c>
      <c r="E78" s="20" t="s">
        <v>202</v>
      </c>
      <c r="F78" s="21">
        <v>7</v>
      </c>
      <c r="G78" s="22">
        <v>1</v>
      </c>
      <c r="H78" s="23">
        <f>F78 * G78 * 33.626943</f>
        <v>235.38860099999999</v>
      </c>
      <c r="I78" s="23">
        <f>F78 * G78 * 104.238254</f>
        <v>729.667778</v>
      </c>
      <c r="J78" s="23">
        <f t="shared" si="3"/>
        <v>0</v>
      </c>
      <c r="K78" s="23">
        <f>F78 * G78 * 32.01285</f>
        <v>224.08994999999999</v>
      </c>
      <c r="L78" s="23">
        <f>F78 * G78 * 18.631662</f>
        <v>130.42163399999998</v>
      </c>
      <c r="M78" s="23">
        <f>F78 * G78 * 6.725389</f>
        <v>47.077722999999999</v>
      </c>
      <c r="N78" s="29">
        <f t="shared" si="2"/>
        <v>1366.6456860000001</v>
      </c>
      <c r="O78" s="33">
        <v>2.841991877323884E-3</v>
      </c>
    </row>
    <row r="79" spans="2:15">
      <c r="B79" s="18">
        <v>45</v>
      </c>
      <c r="C79" s="19" t="s">
        <v>203</v>
      </c>
      <c r="D79" s="20" t="s">
        <v>204</v>
      </c>
      <c r="E79" s="20" t="s">
        <v>205</v>
      </c>
      <c r="F79" s="21">
        <v>0.28000000000000003</v>
      </c>
      <c r="G79" s="22">
        <v>1</v>
      </c>
      <c r="H79" s="23">
        <f>F79 * G79 * 23942.38316</f>
        <v>6703.8672848000006</v>
      </c>
      <c r="I79" s="23">
        <f>F79 * G79 * 79511.414227</f>
        <v>22263.195983560003</v>
      </c>
      <c r="J79" s="23">
        <f t="shared" si="3"/>
        <v>0</v>
      </c>
      <c r="K79" s="23">
        <f>F79 * G79 * 22793.148768</f>
        <v>6382.0816550400004</v>
      </c>
      <c r="L79" s="23">
        <f>F79 * G79 * 13824.237104</f>
        <v>3870.7863891200004</v>
      </c>
      <c r="M79" s="23">
        <f>F79 * G79 * 4788.476632</f>
        <v>1340.7734569600002</v>
      </c>
      <c r="N79" s="29">
        <f t="shared" si="2"/>
        <v>40560.704769480006</v>
      </c>
      <c r="O79" s="33">
        <v>8.4347534020163206E-2</v>
      </c>
    </row>
    <row r="80" spans="2:15">
      <c r="B80" s="18">
        <v>46</v>
      </c>
      <c r="C80" s="19" t="s">
        <v>206</v>
      </c>
      <c r="D80" s="20" t="s">
        <v>207</v>
      </c>
      <c r="E80" s="20" t="s">
        <v>113</v>
      </c>
      <c r="F80" s="21">
        <v>1.6800000000000002</v>
      </c>
      <c r="G80" s="22">
        <v>0.2</v>
      </c>
      <c r="H80" s="23">
        <f>F80 * G80 * 11375.60342</f>
        <v>3822.2027491200006</v>
      </c>
      <c r="I80" s="23">
        <f>F80 * G80 * 4845.487643</f>
        <v>1628.0838480480004</v>
      </c>
      <c r="J80" s="23">
        <f t="shared" si="3"/>
        <v>0</v>
      </c>
      <c r="K80" s="23">
        <f>F80 * G80 * 10829.574456</f>
        <v>3638.7370172160008</v>
      </c>
      <c r="L80" s="23">
        <f>F80 * G80 * 3093.870444</f>
        <v>1039.5404691840004</v>
      </c>
      <c r="M80" s="23">
        <f>F80 * G80 * 2275.120684</f>
        <v>764.44054982400019</v>
      </c>
      <c r="N80" s="29">
        <f t="shared" si="2"/>
        <v>10893.004633392002</v>
      </c>
      <c r="O80" s="33">
        <v>2.2652418988246454E-2</v>
      </c>
    </row>
    <row r="81" spans="2:15">
      <c r="B81" s="18">
        <v>47</v>
      </c>
      <c r="C81" s="19" t="s">
        <v>208</v>
      </c>
      <c r="D81" s="20" t="s">
        <v>209</v>
      </c>
      <c r="E81" s="20" t="s">
        <v>210</v>
      </c>
      <c r="F81" s="21">
        <v>7</v>
      </c>
      <c r="G81" s="22">
        <v>1</v>
      </c>
      <c r="H81" s="23">
        <f>F81 * G81 * 289.29151</f>
        <v>2025.0405700000001</v>
      </c>
      <c r="I81" s="23">
        <f>F81 * G81 * 2880.83556</f>
        <v>20165.84892</v>
      </c>
      <c r="J81" s="23">
        <f>F81 * G81 * 7.467328</f>
        <v>52.271296</v>
      </c>
      <c r="K81" s="23">
        <f>F81 * G81 * 275.405518</f>
        <v>1927.8386259999997</v>
      </c>
      <c r="L81" s="23">
        <f>F81 * G81 * 370.395542</f>
        <v>2592.7687939999996</v>
      </c>
      <c r="M81" s="23">
        <f>F81 * G81 * 57.858302</f>
        <v>405.00811400000003</v>
      </c>
      <c r="N81" s="29">
        <f t="shared" si="2"/>
        <v>27168.776320000001</v>
      </c>
      <c r="O81" s="33">
        <v>5.6498507557041729E-2</v>
      </c>
    </row>
    <row r="82" spans="2:15" ht="25.5">
      <c r="B82" s="18">
        <v>48</v>
      </c>
      <c r="C82" s="19" t="s">
        <v>211</v>
      </c>
      <c r="D82" s="20" t="s">
        <v>212</v>
      </c>
      <c r="E82" s="20" t="s">
        <v>213</v>
      </c>
      <c r="F82" s="21">
        <v>7</v>
      </c>
      <c r="G82" s="22">
        <v>0.2</v>
      </c>
      <c r="H82" s="23">
        <f>F82 * G82 * 526.611153</f>
        <v>737.25561419999997</v>
      </c>
      <c r="I82" s="23">
        <f>F82 * G82 * 2010.938661</f>
        <v>2815.3141254000002</v>
      </c>
      <c r="J82" s="23">
        <f>F82 * G82 * 0</f>
        <v>0</v>
      </c>
      <c r="K82" s="23">
        <f>F82 * G82 * 501.333817</f>
        <v>701.86734380000007</v>
      </c>
      <c r="L82" s="23">
        <f>F82 * G82 * 331.713718</f>
        <v>464.39920519999998</v>
      </c>
      <c r="M82" s="23">
        <f>F82 * G82 * 105.322231</f>
        <v>147.45112340000003</v>
      </c>
      <c r="N82" s="29">
        <f t="shared" si="2"/>
        <v>4866.2874120000006</v>
      </c>
      <c r="O82" s="33">
        <v>1.0119630449429791E-2</v>
      </c>
    </row>
    <row r="83" spans="2:15" s="15" customFormat="1" ht="12.75">
      <c r="B83" s="16"/>
      <c r="C83" s="17" t="s">
        <v>214</v>
      </c>
      <c r="D83" s="49" t="s">
        <v>215</v>
      </c>
      <c r="E83" s="49"/>
      <c r="F83" s="49"/>
      <c r="G83" s="49"/>
      <c r="H83" s="49"/>
      <c r="I83" s="49"/>
      <c r="J83" s="49"/>
      <c r="K83" s="49"/>
      <c r="L83" s="49"/>
      <c r="M83" s="49"/>
      <c r="N83" s="50"/>
      <c r="O83" s="32"/>
    </row>
    <row r="84" spans="2:15" ht="25.5">
      <c r="B84" s="18">
        <v>49</v>
      </c>
      <c r="C84" s="19" t="s">
        <v>216</v>
      </c>
      <c r="D84" s="20" t="s">
        <v>217</v>
      </c>
      <c r="E84" s="20" t="s">
        <v>218</v>
      </c>
      <c r="F84" s="21">
        <v>7.0000000000000007E-2</v>
      </c>
      <c r="G84" s="22">
        <v>0.2</v>
      </c>
      <c r="H84" s="23">
        <f>F84 * G84 * 217076.185872</f>
        <v>3039.0666022080004</v>
      </c>
      <c r="I84" s="23">
        <f>F84 * G84 * 30450.299472</f>
        <v>426.30419260800005</v>
      </c>
      <c r="J84" s="23">
        <f>F84 * G84 * 0</f>
        <v>0</v>
      </c>
      <c r="K84" s="23">
        <f>F84 * G84 * 206656.52895</f>
        <v>2893.1914053000005</v>
      </c>
      <c r="L84" s="23">
        <f>F84 * G84 * 52496.61553</f>
        <v>734.95261742000014</v>
      </c>
      <c r="M84" s="23">
        <f>F84 * G84 * 43415.237174</f>
        <v>607.81332043600014</v>
      </c>
      <c r="N84" s="29">
        <f t="shared" ref="N84:N89" si="4">SUM(H84:M84)</f>
        <v>7701.3281379720011</v>
      </c>
      <c r="O84" s="33">
        <v>1.6015205870062138E-2</v>
      </c>
    </row>
    <row r="85" spans="2:15">
      <c r="B85" s="18">
        <v>50</v>
      </c>
      <c r="C85" s="19" t="s">
        <v>219</v>
      </c>
      <c r="D85" s="20" t="s">
        <v>220</v>
      </c>
      <c r="E85" s="20" t="s">
        <v>221</v>
      </c>
      <c r="F85" s="21">
        <v>7.0000000000000007E-2</v>
      </c>
      <c r="G85" s="22">
        <v>1</v>
      </c>
      <c r="H85" s="23">
        <f>F85 * G85 * 3362.694264</f>
        <v>235.38859848000004</v>
      </c>
      <c r="I85" s="23">
        <f>F85 * G85 * 9440.069568</f>
        <v>660.80486976000009</v>
      </c>
      <c r="J85" s="23">
        <f>F85 * G85 * 0</f>
        <v>0</v>
      </c>
      <c r="K85" s="23">
        <f>F85 * G85 * 3201.28494</f>
        <v>224.08994580000001</v>
      </c>
      <c r="L85" s="23">
        <f>F85 * G85 * 1759.379994</f>
        <v>123.15659958000001</v>
      </c>
      <c r="M85" s="23">
        <f>F85 * G85 * 672.538853</f>
        <v>47.077719710000004</v>
      </c>
      <c r="N85" s="29">
        <f t="shared" si="4"/>
        <v>1290.5177333300001</v>
      </c>
      <c r="O85" s="33">
        <v>2.6836808934735776E-3</v>
      </c>
    </row>
    <row r="86" spans="2:15">
      <c r="B86" s="18">
        <v>51</v>
      </c>
      <c r="C86" s="19" t="s">
        <v>222</v>
      </c>
      <c r="D86" s="20" t="s">
        <v>223</v>
      </c>
      <c r="E86" s="20" t="s">
        <v>224</v>
      </c>
      <c r="F86" s="21">
        <v>7.0000000000000007E-2</v>
      </c>
      <c r="G86" s="22">
        <v>1</v>
      </c>
      <c r="H86" s="23">
        <f>F86 * G86 * 8689.201978</f>
        <v>608.24413846000004</v>
      </c>
      <c r="I86" s="23">
        <f>F86 * G86 * 5007.82368</f>
        <v>350.54765760000004</v>
      </c>
      <c r="J86" s="23">
        <f>F86 * G86 * 0</f>
        <v>0</v>
      </c>
      <c r="K86" s="23">
        <f>F86 * G86 * 8272.120283</f>
        <v>579.04841981000004</v>
      </c>
      <c r="L86" s="23">
        <f>F86 * G86 * 2501.087059</f>
        <v>175.07609413</v>
      </c>
      <c r="M86" s="23">
        <f>F86 * G86 * 1737.840396</f>
        <v>121.64882772000001</v>
      </c>
      <c r="N86" s="29">
        <f t="shared" si="4"/>
        <v>1834.5651377200002</v>
      </c>
      <c r="O86" s="33">
        <v>3.8150482405443407E-3</v>
      </c>
    </row>
    <row r="87" spans="2:15">
      <c r="B87" s="18">
        <v>52</v>
      </c>
      <c r="C87" s="19" t="s">
        <v>225</v>
      </c>
      <c r="D87" s="20" t="s">
        <v>226</v>
      </c>
      <c r="E87" s="20" t="s">
        <v>113</v>
      </c>
      <c r="F87" s="21">
        <v>0.28000000000000003</v>
      </c>
      <c r="G87" s="22">
        <v>0.2</v>
      </c>
      <c r="H87" s="23">
        <f>F87 * G87 * 17385.356171</f>
        <v>973.57994557600011</v>
      </c>
      <c r="I87" s="23">
        <f>F87 * G87 * 3143.935994</f>
        <v>176.06041566400003</v>
      </c>
      <c r="J87" s="23">
        <f>F87 * G87 * 0</f>
        <v>0</v>
      </c>
      <c r="K87" s="23">
        <f>F87 * G87 * 16550.859075</f>
        <v>926.84810820000018</v>
      </c>
      <c r="L87" s="23">
        <f>F87 * G87 * 4278.786971</f>
        <v>239.61207037600005</v>
      </c>
      <c r="M87" s="23">
        <f>F87 * G87 * 3477.071234</f>
        <v>194.71598910400002</v>
      </c>
      <c r="N87" s="29">
        <f t="shared" si="4"/>
        <v>2510.8165289200006</v>
      </c>
      <c r="O87" s="33">
        <v>5.2213388252272952E-3</v>
      </c>
    </row>
    <row r="88" spans="2:15">
      <c r="B88" s="18">
        <v>53</v>
      </c>
      <c r="C88" s="19" t="s">
        <v>227</v>
      </c>
      <c r="D88" s="20" t="s">
        <v>228</v>
      </c>
      <c r="E88" s="20" t="s">
        <v>229</v>
      </c>
      <c r="F88" s="21">
        <v>0.14000000000000001</v>
      </c>
      <c r="G88" s="22">
        <v>0.2</v>
      </c>
      <c r="H88" s="23">
        <f>F88 * G88 * 2665.258998</f>
        <v>74.627251944000008</v>
      </c>
      <c r="I88" s="23">
        <f>F88 * G88 * 37015.052258</f>
        <v>1036.4214632240003</v>
      </c>
      <c r="J88" s="23">
        <f>F88 * G88 * 60.546816</f>
        <v>1.6953108480000003</v>
      </c>
      <c r="K88" s="23">
        <f>F88 * G88 * 2582.885481</f>
        <v>72.320793468000005</v>
      </c>
      <c r="L88" s="23">
        <f>F88 * G88 * 4522.401672</f>
        <v>126.62724681600001</v>
      </c>
      <c r="M88" s="23">
        <f>F88 * G88 * 542.623</f>
        <v>15.193444000000003</v>
      </c>
      <c r="N88" s="29">
        <f t="shared" si="4"/>
        <v>1326.8855103000001</v>
      </c>
      <c r="O88" s="33">
        <v>2.7593090740648321E-3</v>
      </c>
    </row>
    <row r="89" spans="2:15" ht="51">
      <c r="B89" s="18">
        <v>54</v>
      </c>
      <c r="C89" s="19" t="s">
        <v>230</v>
      </c>
      <c r="D89" s="20" t="s">
        <v>231</v>
      </c>
      <c r="E89" s="20" t="s">
        <v>232</v>
      </c>
      <c r="F89" s="21">
        <v>0.56000000000000005</v>
      </c>
      <c r="G89" s="22">
        <v>1</v>
      </c>
      <c r="H89" s="23">
        <f>F89 * G89 * 10285.360855</f>
        <v>5759.8020788000013</v>
      </c>
      <c r="I89" s="23">
        <f>F89 * G89 * 49114.229045</f>
        <v>27503.968265200001</v>
      </c>
      <c r="J89" s="23">
        <f>F89 * G89 * 0</f>
        <v>0</v>
      </c>
      <c r="K89" s="23">
        <f>F89 * G89 * 9791.663534</f>
        <v>5483.3315790400002</v>
      </c>
      <c r="L89" s="23">
        <f>F89 * G89 * 7516.698351</f>
        <v>4209.3510765600004</v>
      </c>
      <c r="M89" s="23">
        <f>F89 * G89 * 2057.072171</f>
        <v>1151.9604157599999</v>
      </c>
      <c r="N89" s="29">
        <f t="shared" si="4"/>
        <v>44108.413415360003</v>
      </c>
      <c r="O89" s="33">
        <v>9.1725129587170093E-2</v>
      </c>
    </row>
    <row r="90" spans="2:15" s="15" customFormat="1" ht="12.75">
      <c r="B90" s="16"/>
      <c r="C90" s="17" t="s">
        <v>233</v>
      </c>
      <c r="D90" s="49" t="s">
        <v>234</v>
      </c>
      <c r="E90" s="49"/>
      <c r="F90" s="49"/>
      <c r="G90" s="49"/>
      <c r="H90" s="49"/>
      <c r="I90" s="49"/>
      <c r="J90" s="49"/>
      <c r="K90" s="49"/>
      <c r="L90" s="49"/>
      <c r="M90" s="49"/>
      <c r="N90" s="50"/>
      <c r="O90" s="32">
        <v>0</v>
      </c>
    </row>
    <row r="91" spans="2:15">
      <c r="B91" s="18">
        <v>55</v>
      </c>
      <c r="C91" s="19" t="s">
        <v>235</v>
      </c>
      <c r="D91" s="20" t="s">
        <v>236</v>
      </c>
      <c r="E91" s="20" t="s">
        <v>213</v>
      </c>
      <c r="F91" s="21">
        <v>7</v>
      </c>
      <c r="G91" s="22">
        <v>0.2</v>
      </c>
      <c r="H91" s="23">
        <f>F91 * G91 * 526.611153</f>
        <v>737.25561419999997</v>
      </c>
      <c r="I91" s="23">
        <f>F91 * G91 * 1873.074501</f>
        <v>2622.3043014000004</v>
      </c>
      <c r="J91" s="23">
        <f>F91 * G91 * 0</f>
        <v>0</v>
      </c>
      <c r="K91" s="23">
        <f>F91 * G91 * 501.333817</f>
        <v>701.86734380000007</v>
      </c>
      <c r="L91" s="23">
        <f>F91 * G91 * 317.169049999999</f>
        <v>444.03666999999865</v>
      </c>
      <c r="M91" s="23">
        <f>F91 * G91 * 105.322231</f>
        <v>147.45112340000003</v>
      </c>
      <c r="N91" s="29">
        <f>SUM(H91:M91)</f>
        <v>4652.9150527999991</v>
      </c>
      <c r="O91" s="33">
        <v>9.6759144827356716E-3</v>
      </c>
    </row>
    <row r="92" spans="2:15" s="15" customFormat="1" ht="12.75">
      <c r="B92" s="16"/>
      <c r="C92" s="17" t="s">
        <v>237</v>
      </c>
      <c r="D92" s="49" t="s">
        <v>238</v>
      </c>
      <c r="E92" s="49"/>
      <c r="F92" s="49"/>
      <c r="G92" s="49"/>
      <c r="H92" s="49"/>
      <c r="I92" s="49"/>
      <c r="J92" s="49"/>
      <c r="K92" s="49"/>
      <c r="L92" s="49"/>
      <c r="M92" s="49"/>
      <c r="N92" s="50"/>
      <c r="O92" s="32">
        <v>0</v>
      </c>
    </row>
    <row r="93" spans="2:15" ht="25.5">
      <c r="B93" s="18">
        <v>56</v>
      </c>
      <c r="C93" s="19" t="s">
        <v>239</v>
      </c>
      <c r="D93" s="20" t="s">
        <v>240</v>
      </c>
      <c r="E93" s="20" t="s">
        <v>241</v>
      </c>
      <c r="F93" s="21">
        <v>7</v>
      </c>
      <c r="G93" s="22">
        <v>0.2</v>
      </c>
      <c r="H93" s="23">
        <f>F93 * G93 * 163.651121</f>
        <v>229.11156940000001</v>
      </c>
      <c r="I93" s="23">
        <f>F93 * G93 * 1394.01624</f>
        <v>1951.622736</v>
      </c>
      <c r="J93" s="23">
        <f>F93 * G93 * 0</f>
        <v>0</v>
      </c>
      <c r="K93" s="23">
        <f>F93 * G93 * 155.795867999999</f>
        <v>218.1142151999986</v>
      </c>
      <c r="L93" s="23">
        <f>F93 * G93 * 184.223409</f>
        <v>257.91277260000004</v>
      </c>
      <c r="M93" s="23">
        <f>F93 * G93 * 32.730224</f>
        <v>45.822313600000001</v>
      </c>
      <c r="N93" s="29">
        <f>SUM(H93:M93)</f>
        <v>2702.583606799999</v>
      </c>
      <c r="O93" s="33">
        <v>5.6201257846097514E-3</v>
      </c>
    </row>
    <row r="94" spans="2:15" s="15" customFormat="1" ht="12.75">
      <c r="B94" s="16"/>
      <c r="C94" s="17" t="s">
        <v>242</v>
      </c>
      <c r="D94" s="49" t="s">
        <v>243</v>
      </c>
      <c r="E94" s="49"/>
      <c r="F94" s="49"/>
      <c r="G94" s="49"/>
      <c r="H94" s="49"/>
      <c r="I94" s="49"/>
      <c r="J94" s="49"/>
      <c r="K94" s="49"/>
      <c r="L94" s="49"/>
      <c r="M94" s="49"/>
      <c r="N94" s="50"/>
      <c r="O94" s="32"/>
    </row>
    <row r="95" spans="2:15" ht="38.25">
      <c r="B95" s="18">
        <v>57</v>
      </c>
      <c r="C95" s="19" t="s">
        <v>244</v>
      </c>
      <c r="D95" s="20" t="s">
        <v>245</v>
      </c>
      <c r="E95" s="20" t="s">
        <v>72</v>
      </c>
      <c r="F95" s="21">
        <v>0.16</v>
      </c>
      <c r="G95" s="22">
        <v>1</v>
      </c>
      <c r="H95" s="23">
        <f>F95 * G95 * 40458.380603</f>
        <v>6473.3408964800001</v>
      </c>
      <c r="I95" s="23">
        <f>F95 * G95 * 684258.043612</f>
        <v>109481.28697792</v>
      </c>
      <c r="J95" s="23">
        <f>F95 * G95 * 3114.239568</f>
        <v>498.27833088</v>
      </c>
      <c r="K95" s="23">
        <f>F95 * G95 * 40066.673328</f>
        <v>6410.6677324799994</v>
      </c>
      <c r="L95" s="23">
        <f>F95 * G95 * 81901.201425</f>
        <v>13104.192228000002</v>
      </c>
      <c r="M95" s="23">
        <f>F95 * G95 * 8417.368346</f>
        <v>1346.7789353599999</v>
      </c>
      <c r="N95" s="29">
        <f>SUM(H95:M95)</f>
        <v>137314.54510111999</v>
      </c>
      <c r="O95" s="33">
        <v>0.28555083868007552</v>
      </c>
    </row>
    <row r="96" spans="2:15" s="12" customFormat="1" ht="15">
      <c r="B96" s="13"/>
      <c r="C96" s="14" t="s">
        <v>246</v>
      </c>
      <c r="D96" s="47" t="s">
        <v>247</v>
      </c>
      <c r="E96" s="47"/>
      <c r="F96" s="47"/>
      <c r="G96" s="47"/>
      <c r="H96" s="47"/>
      <c r="I96" s="47"/>
      <c r="J96" s="47"/>
      <c r="K96" s="47"/>
      <c r="L96" s="47"/>
      <c r="M96" s="47"/>
      <c r="N96" s="48"/>
      <c r="O96" s="34"/>
    </row>
    <row r="97" spans="2:15" s="15" customFormat="1" ht="12.75">
      <c r="B97" s="16"/>
      <c r="C97" s="17" t="s">
        <v>248</v>
      </c>
      <c r="D97" s="49" t="s">
        <v>249</v>
      </c>
      <c r="E97" s="49"/>
      <c r="F97" s="49"/>
      <c r="G97" s="49"/>
      <c r="H97" s="49"/>
      <c r="I97" s="49"/>
      <c r="J97" s="49"/>
      <c r="K97" s="49"/>
      <c r="L97" s="49"/>
      <c r="M97" s="49"/>
      <c r="N97" s="50"/>
      <c r="O97" s="32"/>
    </row>
    <row r="98" spans="2:15">
      <c r="B98" s="18">
        <v>58</v>
      </c>
      <c r="C98" s="19" t="s">
        <v>250</v>
      </c>
      <c r="D98" s="20" t="s">
        <v>251</v>
      </c>
      <c r="E98" s="20" t="s">
        <v>252</v>
      </c>
      <c r="F98" s="21">
        <v>0.105</v>
      </c>
      <c r="G98" s="22">
        <v>0.2</v>
      </c>
      <c r="H98" s="23">
        <f>F98 * G98 * 13450.777056</f>
        <v>282.46631817600002</v>
      </c>
      <c r="I98" s="23">
        <f>F98 * G98 * 16865.39916</f>
        <v>354.17338236000006</v>
      </c>
      <c r="J98" s="23">
        <f>F98 * G98 * 0</f>
        <v>0</v>
      </c>
      <c r="K98" s="23">
        <f>F98 * G98 * 12805.1397569999</f>
        <v>268.90793489699792</v>
      </c>
      <c r="L98" s="23">
        <f>F98 * G98 * 4833.110231</f>
        <v>101.495314851</v>
      </c>
      <c r="M98" s="23">
        <f>F98 * G98 * 2690.155411</f>
        <v>56.493263631000005</v>
      </c>
      <c r="N98" s="29">
        <f>SUM(H98:M98)</f>
        <v>1063.5362139149981</v>
      </c>
      <c r="O98" s="33">
        <v>2.2116641585668618E-3</v>
      </c>
    </row>
    <row r="99" spans="2:15" ht="25.5">
      <c r="B99" s="18">
        <v>59</v>
      </c>
      <c r="C99" s="19" t="s">
        <v>253</v>
      </c>
      <c r="D99" s="20" t="s">
        <v>254</v>
      </c>
      <c r="E99" s="20" t="s">
        <v>255</v>
      </c>
      <c r="F99" s="21">
        <v>0.105</v>
      </c>
      <c r="G99" s="22">
        <v>0.2</v>
      </c>
      <c r="H99" s="23">
        <f>F99 * G99 * 4931.951587</f>
        <v>103.57098332699999</v>
      </c>
      <c r="I99" s="23">
        <f>F99 * G99 * 4095.899254</f>
        <v>86.013884334000011</v>
      </c>
      <c r="J99" s="23">
        <f>F99 * G99 * 0</f>
        <v>0</v>
      </c>
      <c r="K99" s="23">
        <f>F99 * G99 * 4695.217911</f>
        <v>98.599576131000006</v>
      </c>
      <c r="L99" s="23">
        <f>F99 * G99 * 1551.847931</f>
        <v>32.588806551000005</v>
      </c>
      <c r="M99" s="23">
        <f>F99 * G99 * 986.390317</f>
        <v>20.714196657000002</v>
      </c>
      <c r="N99" s="29">
        <f>SUM(H99:M99)</f>
        <v>341.48744700000003</v>
      </c>
      <c r="O99" s="33">
        <v>7.1013618271654241E-4</v>
      </c>
    </row>
    <row r="100" spans="2:15" s="15" customFormat="1" ht="12.75">
      <c r="B100" s="16"/>
      <c r="C100" s="17" t="s">
        <v>256</v>
      </c>
      <c r="D100" s="49" t="s">
        <v>257</v>
      </c>
      <c r="E100" s="49"/>
      <c r="F100" s="49"/>
      <c r="G100" s="49"/>
      <c r="H100" s="49"/>
      <c r="I100" s="49"/>
      <c r="J100" s="49"/>
      <c r="K100" s="49"/>
      <c r="L100" s="49"/>
      <c r="M100" s="49"/>
      <c r="N100" s="50"/>
      <c r="O100" s="32"/>
    </row>
    <row r="101" spans="2:15" s="15" customFormat="1" ht="12.75">
      <c r="B101" s="16"/>
      <c r="C101" s="17" t="s">
        <v>258</v>
      </c>
      <c r="D101" s="51" t="s">
        <v>259</v>
      </c>
      <c r="E101" s="51"/>
      <c r="F101" s="51"/>
      <c r="G101" s="51"/>
      <c r="H101" s="51"/>
      <c r="I101" s="51"/>
      <c r="J101" s="51"/>
      <c r="K101" s="51"/>
      <c r="L101" s="51"/>
      <c r="M101" s="51"/>
      <c r="N101" s="52"/>
      <c r="O101" s="35"/>
    </row>
    <row r="102" spans="2:15">
      <c r="B102" s="18">
        <v>60</v>
      </c>
      <c r="C102" s="19" t="s">
        <v>260</v>
      </c>
      <c r="D102" s="20" t="s">
        <v>261</v>
      </c>
      <c r="E102" s="20" t="s">
        <v>165</v>
      </c>
      <c r="F102" s="21">
        <v>0.28000000000000003</v>
      </c>
      <c r="G102" s="22">
        <v>0.2</v>
      </c>
      <c r="H102" s="23">
        <f>F102 * G102 * 11657.340115</f>
        <v>652.81104644000015</v>
      </c>
      <c r="I102" s="23">
        <f>F102 * G102 * 55777.638966</f>
        <v>3123.5477820960004</v>
      </c>
      <c r="J102" s="23">
        <f>F102 * G102 * 0</f>
        <v>0</v>
      </c>
      <c r="K102" s="23">
        <f>F102 * G102 * 11097.78779</f>
        <v>621.47611624000012</v>
      </c>
      <c r="L102" s="23">
        <f>F102 * G102 * 8531.176781</f>
        <v>477.74589973600007</v>
      </c>
      <c r="M102" s="23">
        <f>F102 * G102 * 2331.468023</f>
        <v>130.56220928800002</v>
      </c>
      <c r="N102" s="29">
        <f>SUM(H102:M102)</f>
        <v>5006.1430538000013</v>
      </c>
      <c r="O102" s="33">
        <v>1.0410465595704509E-2</v>
      </c>
    </row>
    <row r="103" spans="2:15" s="15" customFormat="1" ht="12.75">
      <c r="B103" s="16"/>
      <c r="C103" s="17" t="s">
        <v>262</v>
      </c>
      <c r="D103" s="49" t="s">
        <v>263</v>
      </c>
      <c r="E103" s="49"/>
      <c r="F103" s="49"/>
      <c r="G103" s="49"/>
      <c r="H103" s="49"/>
      <c r="I103" s="49"/>
      <c r="J103" s="49"/>
      <c r="K103" s="49"/>
      <c r="L103" s="49"/>
      <c r="M103" s="49"/>
      <c r="N103" s="50"/>
      <c r="O103" s="32"/>
    </row>
    <row r="104" spans="2:15" ht="25.5">
      <c r="B104" s="18">
        <v>61</v>
      </c>
      <c r="C104" s="19" t="s">
        <v>264</v>
      </c>
      <c r="D104" s="20" t="s">
        <v>265</v>
      </c>
      <c r="E104" s="20" t="s">
        <v>266</v>
      </c>
      <c r="F104" s="21">
        <v>2.2679999999999998</v>
      </c>
      <c r="G104" s="22">
        <v>0.2</v>
      </c>
      <c r="H104" s="23">
        <f>F104 * G104 * 14519.174395</f>
        <v>6585.8975055720002</v>
      </c>
      <c r="I104" s="23">
        <f>F104 * G104 * 1617.242629</f>
        <v>733.58125651440002</v>
      </c>
      <c r="J104" s="23">
        <f>F104 * G104 * 0</f>
        <v>0</v>
      </c>
      <c r="K104" s="23">
        <f>F104 * G104 * 13822.254024</f>
        <v>6269.7744252864004</v>
      </c>
      <c r="L104" s="23">
        <f>F104 * G104 * 3466.994376</f>
        <v>1572.6286489536001</v>
      </c>
      <c r="M104" s="23">
        <f>F104 * G104 * 2903.834879</f>
        <v>1317.1795011144</v>
      </c>
      <c r="N104" s="29">
        <f>SUM(H104:M104)</f>
        <v>16479.061337440799</v>
      </c>
      <c r="O104" s="33">
        <v>3.42688371585207E-2</v>
      </c>
    </row>
    <row r="105" spans="2:15" s="15" customFormat="1" ht="12.75">
      <c r="B105" s="16"/>
      <c r="C105" s="17" t="s">
        <v>267</v>
      </c>
      <c r="D105" s="49" t="s">
        <v>268</v>
      </c>
      <c r="E105" s="49"/>
      <c r="F105" s="49"/>
      <c r="G105" s="49"/>
      <c r="H105" s="49"/>
      <c r="I105" s="49"/>
      <c r="J105" s="49"/>
      <c r="K105" s="49"/>
      <c r="L105" s="49"/>
      <c r="M105" s="49"/>
      <c r="N105" s="50"/>
      <c r="O105" s="32"/>
    </row>
    <row r="106" spans="2:15" ht="25.5">
      <c r="B106" s="18">
        <v>62</v>
      </c>
      <c r="C106" s="19" t="s">
        <v>269</v>
      </c>
      <c r="D106" s="20" t="s">
        <v>270</v>
      </c>
      <c r="E106" s="20" t="s">
        <v>157</v>
      </c>
      <c r="F106" s="21">
        <v>2.31</v>
      </c>
      <c r="G106" s="22">
        <v>0.2</v>
      </c>
      <c r="H106" s="23">
        <f>F106 * G106 * 8701.987399</f>
        <v>4020.3181783380001</v>
      </c>
      <c r="I106" s="23">
        <f>F106 * G106 * 2700.133373</f>
        <v>1247.461618326</v>
      </c>
      <c r="J106" s="23">
        <f>F106 * G106 * 0</f>
        <v>0</v>
      </c>
      <c r="K106" s="23">
        <f>F106 * G106 * 8284.292003</f>
        <v>3827.3429053860004</v>
      </c>
      <c r="L106" s="23">
        <f>F106 * G106 * 2260.528482</f>
        <v>1044.3641586840001</v>
      </c>
      <c r="M106" s="23">
        <f>F106 * G106 * 1740.39748</f>
        <v>804.06363576000012</v>
      </c>
      <c r="N106" s="29">
        <f>SUM(H106:M106)</f>
        <v>10943.550496494001</v>
      </c>
      <c r="O106" s="33">
        <v>2.2757531040214111E-2</v>
      </c>
    </row>
    <row r="107" spans="2:15" ht="25.5">
      <c r="B107" s="18">
        <v>63</v>
      </c>
      <c r="C107" s="19" t="s">
        <v>271</v>
      </c>
      <c r="D107" s="20" t="s">
        <v>272</v>
      </c>
      <c r="E107" s="20" t="s">
        <v>273</v>
      </c>
      <c r="F107" s="21">
        <v>1.4</v>
      </c>
      <c r="G107" s="22">
        <v>0.2</v>
      </c>
      <c r="H107" s="23">
        <f>F107 * G107 * 2839.595888</f>
        <v>795.08684863999986</v>
      </c>
      <c r="I107" s="23">
        <f>F107 * G107 * 589.023567</f>
        <v>164.92659875999996</v>
      </c>
      <c r="J107" s="23">
        <f>F107 * G107 * 0</f>
        <v>0</v>
      </c>
      <c r="K107" s="23">
        <f>F107 * G107 * 2703.295285</f>
        <v>756.92267979999997</v>
      </c>
      <c r="L107" s="23">
        <f>F107 * G107 * 706.832479</f>
        <v>197.91309411999998</v>
      </c>
      <c r="M107" s="23">
        <f>F107 * G107 * 567.919178</f>
        <v>159.01736983999999</v>
      </c>
      <c r="N107" s="29">
        <f>SUM(H107:M107)</f>
        <v>2073.8665911599996</v>
      </c>
      <c r="O107" s="33">
        <v>4.3126847485838336E-3</v>
      </c>
    </row>
    <row r="108" spans="2:15" ht="25.5">
      <c r="B108" s="18">
        <v>64</v>
      </c>
      <c r="C108" s="19" t="s">
        <v>274</v>
      </c>
      <c r="D108" s="20" t="s">
        <v>275</v>
      </c>
      <c r="E108" s="20" t="s">
        <v>276</v>
      </c>
      <c r="F108" s="21">
        <v>0.56000000000000005</v>
      </c>
      <c r="G108" s="22">
        <v>0.2</v>
      </c>
      <c r="H108" s="23">
        <f>F108 * G108 * 32878.417104</f>
        <v>3682.3827156480006</v>
      </c>
      <c r="I108" s="23">
        <f>F108 * G108 * 423415.723362</f>
        <v>47422.561016544008</v>
      </c>
      <c r="J108" s="23">
        <f>F108 * G108 * 0</f>
        <v>0</v>
      </c>
      <c r="K108" s="23">
        <f>F108 * G108 * 31300.253083</f>
        <v>3505.6283452960006</v>
      </c>
      <c r="L108" s="23">
        <f>F108 * G108 * 52134.9431199999</f>
        <v>5839.1136294399894</v>
      </c>
      <c r="M108" s="23">
        <f>F108 * G108 * 6575.683421</f>
        <v>736.47654315200009</v>
      </c>
      <c r="N108" s="29">
        <f>SUM(H108:M108)</f>
        <v>61186.16225008</v>
      </c>
      <c r="O108" s="33">
        <v>0.12723896025187367</v>
      </c>
    </row>
    <row r="109" spans="2:15" s="12" customFormat="1" ht="15">
      <c r="B109" s="13"/>
      <c r="C109" s="14" t="s">
        <v>277</v>
      </c>
      <c r="D109" s="47" t="s">
        <v>278</v>
      </c>
      <c r="E109" s="47"/>
      <c r="F109" s="47"/>
      <c r="G109" s="47"/>
      <c r="H109" s="47"/>
      <c r="I109" s="47"/>
      <c r="J109" s="47"/>
      <c r="K109" s="47"/>
      <c r="L109" s="47"/>
      <c r="M109" s="47"/>
      <c r="N109" s="48"/>
      <c r="O109" s="34"/>
    </row>
    <row r="110" spans="2:15" s="15" customFormat="1" ht="12.75">
      <c r="B110" s="16"/>
      <c r="C110" s="17" t="s">
        <v>279</v>
      </c>
      <c r="D110" s="49" t="s">
        <v>280</v>
      </c>
      <c r="E110" s="49"/>
      <c r="F110" s="49"/>
      <c r="G110" s="49"/>
      <c r="H110" s="49"/>
      <c r="I110" s="49"/>
      <c r="J110" s="49"/>
      <c r="K110" s="49"/>
      <c r="L110" s="49"/>
      <c r="M110" s="49"/>
      <c r="N110" s="50"/>
      <c r="O110" s="32"/>
    </row>
    <row r="111" spans="2:15" s="15" customFormat="1" ht="12.75">
      <c r="B111" s="16"/>
      <c r="C111" s="17" t="s">
        <v>281</v>
      </c>
      <c r="D111" s="51" t="s">
        <v>282</v>
      </c>
      <c r="E111" s="51"/>
      <c r="F111" s="51"/>
      <c r="G111" s="51"/>
      <c r="H111" s="51"/>
      <c r="I111" s="51"/>
      <c r="J111" s="51"/>
      <c r="K111" s="51"/>
      <c r="L111" s="51"/>
      <c r="M111" s="51"/>
      <c r="N111" s="52"/>
      <c r="O111" s="35"/>
    </row>
    <row r="112" spans="2:15" ht="25.5">
      <c r="B112" s="18">
        <v>65</v>
      </c>
      <c r="C112" s="19" t="s">
        <v>283</v>
      </c>
      <c r="D112" s="20" t="s">
        <v>284</v>
      </c>
      <c r="E112" s="20" t="s">
        <v>285</v>
      </c>
      <c r="F112" s="21">
        <v>0.42</v>
      </c>
      <c r="G112" s="22">
        <v>0.2</v>
      </c>
      <c r="H112" s="23">
        <f>F112 * G112 * 16029.976788</f>
        <v>1346.5180501920001</v>
      </c>
      <c r="I112" s="23">
        <f>F112 * G112 * 52982.562098</f>
        <v>4450.5352162320005</v>
      </c>
      <c r="J112" s="23">
        <f>F112 * G112 * 0</f>
        <v>0</v>
      </c>
      <c r="K112" s="23">
        <f>F112 * G112 * 15260.537902</f>
        <v>1281.8851837680002</v>
      </c>
      <c r="L112" s="23">
        <f>F112 * G112 * 9229.042112</f>
        <v>775.23953740799993</v>
      </c>
      <c r="M112" s="23">
        <f>F112 * G112 * 3205.995358</f>
        <v>269.30361007200003</v>
      </c>
      <c r="N112" s="29">
        <f>SUM(H112:M112)</f>
        <v>8123.481597672001</v>
      </c>
      <c r="O112" s="33">
        <v>1.6893090105707085E-2</v>
      </c>
    </row>
    <row r="113" spans="2:15" ht="25.5">
      <c r="B113" s="18">
        <v>66</v>
      </c>
      <c r="C113" s="19" t="s">
        <v>286</v>
      </c>
      <c r="D113" s="20" t="s">
        <v>287</v>
      </c>
      <c r="E113" s="20" t="s">
        <v>285</v>
      </c>
      <c r="F113" s="21">
        <v>0.42</v>
      </c>
      <c r="G113" s="22">
        <v>0.2</v>
      </c>
      <c r="H113" s="23">
        <f>F113 * G113 * 35330.068841</f>
        <v>2967.725782644</v>
      </c>
      <c r="I113" s="23">
        <f>F113 * G113 * 89866.903789</f>
        <v>7548.8199182760009</v>
      </c>
      <c r="J113" s="23">
        <f>F113 * G113 * 0</f>
        <v>0</v>
      </c>
      <c r="K113" s="23">
        <f>F113 * G113 * 33634.225537</f>
        <v>2825.2749451079999</v>
      </c>
      <c r="L113" s="23">
        <f>F113 * G113 * 17502.155859</f>
        <v>1470.181092156</v>
      </c>
      <c r="M113" s="23">
        <f>F113 * G113 * 7066.013768</f>
        <v>593.54515651200006</v>
      </c>
      <c r="N113" s="29">
        <f>SUM(H113:M113)</f>
        <v>15405.546894696001</v>
      </c>
      <c r="O113" s="33">
        <v>3.203642289217179E-2</v>
      </c>
    </row>
    <row r="114" spans="2:15" s="15" customFormat="1" ht="12.75">
      <c r="B114" s="16"/>
      <c r="C114" s="17" t="s">
        <v>288</v>
      </c>
      <c r="D114" s="49" t="s">
        <v>289</v>
      </c>
      <c r="E114" s="49"/>
      <c r="F114" s="49"/>
      <c r="G114" s="49"/>
      <c r="H114" s="49"/>
      <c r="I114" s="49"/>
      <c r="J114" s="49"/>
      <c r="K114" s="49"/>
      <c r="L114" s="49"/>
      <c r="M114" s="49"/>
      <c r="N114" s="50"/>
      <c r="O114" s="32"/>
    </row>
    <row r="115" spans="2:15" s="15" customFormat="1" ht="12.75">
      <c r="B115" s="16"/>
      <c r="C115" s="17" t="s">
        <v>290</v>
      </c>
      <c r="D115" s="51" t="s">
        <v>291</v>
      </c>
      <c r="E115" s="51"/>
      <c r="F115" s="51"/>
      <c r="G115" s="51"/>
      <c r="H115" s="51"/>
      <c r="I115" s="51"/>
      <c r="J115" s="51"/>
      <c r="K115" s="51"/>
      <c r="L115" s="51"/>
      <c r="M115" s="51"/>
      <c r="N115" s="52"/>
      <c r="O115" s="35"/>
    </row>
    <row r="116" spans="2:15" ht="25.5">
      <c r="B116" s="18">
        <v>67</v>
      </c>
      <c r="C116" s="19" t="s">
        <v>292</v>
      </c>
      <c r="D116" s="20" t="s">
        <v>293</v>
      </c>
      <c r="E116" s="20" t="s">
        <v>294</v>
      </c>
      <c r="F116" s="21">
        <v>0.14000000000000001</v>
      </c>
      <c r="G116" s="22">
        <v>0.2</v>
      </c>
      <c r="H116" s="23">
        <f>F116 * G116 * 32059.953576</f>
        <v>897.67870012800017</v>
      </c>
      <c r="I116" s="23">
        <f>F116 * G116 * 1941409.0908</f>
        <v>54359.454542400003</v>
      </c>
      <c r="J116" s="23">
        <f>F116 * G116 * 0</f>
        <v>0</v>
      </c>
      <c r="K116" s="23">
        <f>F116 * G116 * 30521.075804</f>
        <v>854.59012251200011</v>
      </c>
      <c r="L116" s="23">
        <f>F116 * G116 * 212097.422699</f>
        <v>5938.7278355720009</v>
      </c>
      <c r="M116" s="23">
        <f>F116 * G116 * 6411.990715</f>
        <v>179.53574002000002</v>
      </c>
      <c r="N116" s="29">
        <f>SUM(H116:M116)</f>
        <v>62229.986940632007</v>
      </c>
      <c r="O116" s="33">
        <v>0.12940963354509688</v>
      </c>
    </row>
    <row r="117" spans="2:15" s="15" customFormat="1" ht="12.75">
      <c r="B117" s="16"/>
      <c r="C117" s="17" t="s">
        <v>295</v>
      </c>
      <c r="D117" s="51" t="s">
        <v>296</v>
      </c>
      <c r="E117" s="51"/>
      <c r="F117" s="51"/>
      <c r="G117" s="51"/>
      <c r="H117" s="51"/>
      <c r="I117" s="51"/>
      <c r="J117" s="51"/>
      <c r="K117" s="51"/>
      <c r="L117" s="51"/>
      <c r="M117" s="51"/>
      <c r="N117" s="52"/>
      <c r="O117" s="35"/>
    </row>
    <row r="118" spans="2:15" ht="25.5">
      <c r="B118" s="18">
        <v>68</v>
      </c>
      <c r="C118" s="19" t="s">
        <v>297</v>
      </c>
      <c r="D118" s="20" t="s">
        <v>298</v>
      </c>
      <c r="E118" s="20" t="s">
        <v>299</v>
      </c>
      <c r="F118" s="21">
        <v>0.35</v>
      </c>
      <c r="G118" s="22">
        <v>1</v>
      </c>
      <c r="H118" s="23">
        <f>F118 * G118 * 65370.776492</f>
        <v>22879.771772199998</v>
      </c>
      <c r="I118" s="23">
        <f>F118 * G118 * 2874.438408</f>
        <v>1006.0534428</v>
      </c>
      <c r="J118" s="23">
        <f>F118 * G118 * 0</f>
        <v>0</v>
      </c>
      <c r="K118" s="23">
        <f>F118 * G118 * 62232.979221</f>
        <v>21781.542727349999</v>
      </c>
      <c r="L118" s="23">
        <f>F118 * G118 * 15144.772864</f>
        <v>5300.6705024000003</v>
      </c>
      <c r="M118" s="23">
        <f>F118 * G118 * 13074.155298</f>
        <v>4575.9543543</v>
      </c>
      <c r="N118" s="29">
        <f>SUM(H118:M118)</f>
        <v>55543.99279905</v>
      </c>
      <c r="O118" s="33">
        <v>0.1155058534820827</v>
      </c>
    </row>
    <row r="119" spans="2:15" s="15" customFormat="1" ht="12.75">
      <c r="B119" s="16"/>
      <c r="C119" s="17" t="s">
        <v>300</v>
      </c>
      <c r="D119" s="49" t="s">
        <v>301</v>
      </c>
      <c r="E119" s="49"/>
      <c r="F119" s="49"/>
      <c r="G119" s="49"/>
      <c r="H119" s="49"/>
      <c r="I119" s="49"/>
      <c r="J119" s="49"/>
      <c r="K119" s="49"/>
      <c r="L119" s="49"/>
      <c r="M119" s="49"/>
      <c r="N119" s="50"/>
      <c r="O119" s="32"/>
    </row>
    <row r="120" spans="2:15" s="15" customFormat="1" ht="12.75">
      <c r="B120" s="16"/>
      <c r="C120" s="17" t="s">
        <v>302</v>
      </c>
      <c r="D120" s="51" t="s">
        <v>303</v>
      </c>
      <c r="E120" s="51"/>
      <c r="F120" s="51"/>
      <c r="G120" s="51"/>
      <c r="H120" s="51"/>
      <c r="I120" s="51"/>
      <c r="J120" s="51"/>
      <c r="K120" s="51"/>
      <c r="L120" s="51"/>
      <c r="M120" s="51"/>
      <c r="N120" s="52"/>
      <c r="O120" s="35"/>
    </row>
    <row r="121" spans="2:15" ht="38.25">
      <c r="B121" s="18">
        <v>69</v>
      </c>
      <c r="C121" s="19" t="s">
        <v>304</v>
      </c>
      <c r="D121" s="20" t="s">
        <v>305</v>
      </c>
      <c r="E121" s="20" t="s">
        <v>306</v>
      </c>
      <c r="F121" s="21">
        <v>1.4</v>
      </c>
      <c r="G121" s="22">
        <v>1</v>
      </c>
      <c r="H121" s="23">
        <f>F121 * G121 * 27687.789457</f>
        <v>38762.905239799999</v>
      </c>
      <c r="I121" s="23">
        <f>F121 * G121 * 3020.412048</f>
        <v>4228.5768672000004</v>
      </c>
      <c r="J121" s="23">
        <f>F121 * G121 * 0</f>
        <v>0</v>
      </c>
      <c r="K121" s="23">
        <f>F121 * G121 * 26358.775563</f>
        <v>36902.285788199995</v>
      </c>
      <c r="L121" s="23">
        <f>F121 * G121 * 6604.778438</f>
        <v>9246.6898132000006</v>
      </c>
      <c r="M121" s="23">
        <f>F121 * G121 * 5537.557891</f>
        <v>7752.5810474</v>
      </c>
      <c r="N121" s="29">
        <f>SUM(H121:M121)</f>
        <v>96893.038755800007</v>
      </c>
      <c r="O121" s="33">
        <v>0.20149277309701463</v>
      </c>
    </row>
    <row r="122" spans="2:15" s="15" customFormat="1" ht="12.75">
      <c r="B122" s="16"/>
      <c r="C122" s="17" t="s">
        <v>307</v>
      </c>
      <c r="D122" s="49" t="s">
        <v>308</v>
      </c>
      <c r="E122" s="49"/>
      <c r="F122" s="49"/>
      <c r="G122" s="49"/>
      <c r="H122" s="49"/>
      <c r="I122" s="49"/>
      <c r="J122" s="49"/>
      <c r="K122" s="49"/>
      <c r="L122" s="49"/>
      <c r="M122" s="49"/>
      <c r="N122" s="50"/>
      <c r="O122" s="32"/>
    </row>
    <row r="123" spans="2:15">
      <c r="B123" s="18">
        <v>70</v>
      </c>
      <c r="C123" s="19" t="s">
        <v>309</v>
      </c>
      <c r="D123" s="20" t="s">
        <v>310</v>
      </c>
      <c r="E123" s="20" t="s">
        <v>311</v>
      </c>
      <c r="F123" s="21">
        <v>7</v>
      </c>
      <c r="G123" s="22">
        <v>0.3</v>
      </c>
      <c r="H123" s="23">
        <f>F123 * G123 * 526.054674</f>
        <v>1104.7148153999999</v>
      </c>
      <c r="I123" s="23">
        <f>F123 * G123 * 42875.042359</f>
        <v>90037.588953900005</v>
      </c>
      <c r="J123" s="23">
        <f>F123 * G123 * 0</f>
        <v>0</v>
      </c>
      <c r="K123" s="23">
        <f>F123 * G123 * 500.80405</f>
        <v>1051.6885050000001</v>
      </c>
      <c r="L123" s="23">
        <f>F123 * G123 * 4642.750318</f>
        <v>9749.7756678000005</v>
      </c>
      <c r="M123" s="23">
        <f>F123 * G123 * 105.210935</f>
        <v>220.94296350000002</v>
      </c>
      <c r="N123" s="29">
        <f>SUM(H123:M123)</f>
        <v>102164.7109056</v>
      </c>
      <c r="O123" s="33">
        <v>0.21245541658473288</v>
      </c>
    </row>
    <row r="124" spans="2:15" s="15" customFormat="1" ht="12.75">
      <c r="B124" s="16"/>
      <c r="C124" s="17" t="s">
        <v>312</v>
      </c>
      <c r="D124" s="49" t="s">
        <v>313</v>
      </c>
      <c r="E124" s="49"/>
      <c r="F124" s="49"/>
      <c r="G124" s="49"/>
      <c r="H124" s="49"/>
      <c r="I124" s="49"/>
      <c r="J124" s="49"/>
      <c r="K124" s="49"/>
      <c r="L124" s="49"/>
      <c r="M124" s="49"/>
      <c r="N124" s="50"/>
      <c r="O124" s="32"/>
    </row>
    <row r="125" spans="2:15" s="15" customFormat="1" ht="12.75">
      <c r="B125" s="16"/>
      <c r="C125" s="17" t="s">
        <v>314</v>
      </c>
      <c r="D125" s="51" t="s">
        <v>315</v>
      </c>
      <c r="E125" s="51"/>
      <c r="F125" s="51"/>
      <c r="G125" s="51"/>
      <c r="H125" s="51"/>
      <c r="I125" s="51"/>
      <c r="J125" s="51"/>
      <c r="K125" s="51"/>
      <c r="L125" s="51"/>
      <c r="M125" s="51"/>
      <c r="N125" s="52"/>
      <c r="O125" s="35"/>
    </row>
    <row r="126" spans="2:15">
      <c r="B126" s="18">
        <v>71</v>
      </c>
      <c r="C126" s="19" t="s">
        <v>316</v>
      </c>
      <c r="D126" s="20" t="s">
        <v>317</v>
      </c>
      <c r="E126" s="20" t="s">
        <v>224</v>
      </c>
      <c r="F126" s="21">
        <v>7.0000000000000007E-2</v>
      </c>
      <c r="G126" s="22">
        <v>1</v>
      </c>
      <c r="H126" s="23">
        <f>F126 * G126 * 64119.907152</f>
        <v>4488.3935006400006</v>
      </c>
      <c r="I126" s="23">
        <f>F126 * G126 * 745432.847544</f>
        <v>52180.299328080007</v>
      </c>
      <c r="J126" s="23">
        <f>F126 * G126 * 0</f>
        <v>0</v>
      </c>
      <c r="K126" s="23">
        <f>F126 * G126 * 61042.151609</f>
        <v>4272.9506126300003</v>
      </c>
      <c r="L126" s="23">
        <f>F126 * G126 * 93200.692656</f>
        <v>6524.0484859200005</v>
      </c>
      <c r="M126" s="23">
        <f>F126 * G126 * 12823.98143</f>
        <v>897.67870010000013</v>
      </c>
      <c r="N126" s="29">
        <f>SUM(H126:M126)</f>
        <v>68363.370627370008</v>
      </c>
      <c r="O126" s="33">
        <v>0.14216423907071679</v>
      </c>
    </row>
    <row r="127" spans="2:15" s="15" customFormat="1" ht="12.75">
      <c r="B127" s="16"/>
      <c r="C127" s="17" t="s">
        <v>318</v>
      </c>
      <c r="D127" s="51" t="s">
        <v>319</v>
      </c>
      <c r="E127" s="51"/>
      <c r="F127" s="51"/>
      <c r="G127" s="51"/>
      <c r="H127" s="51"/>
      <c r="I127" s="51"/>
      <c r="J127" s="51"/>
      <c r="K127" s="51"/>
      <c r="L127" s="51"/>
      <c r="M127" s="51"/>
      <c r="N127" s="52"/>
      <c r="O127" s="35"/>
    </row>
    <row r="128" spans="2:15" ht="25.5">
      <c r="B128" s="18">
        <v>72</v>
      </c>
      <c r="C128" s="19" t="s">
        <v>320</v>
      </c>
      <c r="D128" s="20" t="s">
        <v>321</v>
      </c>
      <c r="E128" s="20" t="s">
        <v>224</v>
      </c>
      <c r="F128" s="21">
        <v>0.14000000000000001</v>
      </c>
      <c r="G128" s="22">
        <v>1</v>
      </c>
      <c r="H128" s="23">
        <f>F128 * G128 * 93889.864044</f>
        <v>13144.580966160001</v>
      </c>
      <c r="I128" s="23">
        <f>F128 * G128 * 15610.084056</f>
        <v>2185.4117678400003</v>
      </c>
      <c r="J128" s="23">
        <f>F128 * G128 * 0</f>
        <v>0</v>
      </c>
      <c r="K128" s="23">
        <f>F128 * G128 * 89383.15057</f>
        <v>12513.641079800002</v>
      </c>
      <c r="L128" s="23">
        <f>F128 * G128 * 22963.243041</f>
        <v>3214.8540257400005</v>
      </c>
      <c r="M128" s="23">
        <f>F128 * G128 * 18777.972809</f>
        <v>2628.91619326</v>
      </c>
      <c r="N128" s="29">
        <f>SUM(H128:M128)</f>
        <v>33687.404032800005</v>
      </c>
      <c r="O128" s="33">
        <v>7.005424274199587E-2</v>
      </c>
    </row>
    <row r="129" spans="2:15" s="15" customFormat="1" ht="12.75">
      <c r="B129" s="16"/>
      <c r="C129" s="17" t="s">
        <v>322</v>
      </c>
      <c r="D129" s="51" t="s">
        <v>323</v>
      </c>
      <c r="E129" s="51"/>
      <c r="F129" s="51"/>
      <c r="G129" s="51"/>
      <c r="H129" s="51"/>
      <c r="I129" s="51"/>
      <c r="J129" s="51"/>
      <c r="K129" s="51"/>
      <c r="L129" s="51"/>
      <c r="M129" s="51"/>
      <c r="N129" s="52"/>
      <c r="O129" s="35"/>
    </row>
    <row r="130" spans="2:15">
      <c r="B130" s="18">
        <v>73</v>
      </c>
      <c r="C130" s="19" t="s">
        <v>324</v>
      </c>
      <c r="D130" s="20" t="s">
        <v>325</v>
      </c>
      <c r="E130" s="20" t="s">
        <v>326</v>
      </c>
      <c r="F130" s="21">
        <v>0.28000000000000003</v>
      </c>
      <c r="G130" s="22">
        <v>1</v>
      </c>
      <c r="H130" s="23">
        <f>F130 * G130 * 13151.366842</f>
        <v>3682.3827157600003</v>
      </c>
      <c r="I130" s="23">
        <f>F130 * G130 * 49435.410606</f>
        <v>13841.914969680001</v>
      </c>
      <c r="J130" s="23">
        <f>F130 * G130 * 0</f>
        <v>0</v>
      </c>
      <c r="K130" s="23">
        <f>F130 * G130 * 12520.101233</f>
        <v>3505.6283452400003</v>
      </c>
      <c r="L130" s="23">
        <f>F130 * G130 * 8201.269541</f>
        <v>2296.3554714800002</v>
      </c>
      <c r="M130" s="23">
        <f>F130 * G130 * 2630.273368</f>
        <v>736.47654304000014</v>
      </c>
      <c r="N130" s="29">
        <f>SUM(H130:M130)</f>
        <v>24062.7580452</v>
      </c>
      <c r="O130" s="33">
        <v>5.0039423978738805E-2</v>
      </c>
    </row>
    <row r="131" spans="2:15" s="12" customFormat="1" ht="15">
      <c r="B131" s="13"/>
      <c r="C131" s="14" t="s">
        <v>327</v>
      </c>
      <c r="D131" s="47" t="s">
        <v>328</v>
      </c>
      <c r="E131" s="47"/>
      <c r="F131" s="47"/>
      <c r="G131" s="47"/>
      <c r="H131" s="47"/>
      <c r="I131" s="47"/>
      <c r="J131" s="47"/>
      <c r="K131" s="47"/>
      <c r="L131" s="47"/>
      <c r="M131" s="47"/>
      <c r="N131" s="48"/>
      <c r="O131" s="34"/>
    </row>
    <row r="132" spans="2:15" s="15" customFormat="1" ht="12.75">
      <c r="B132" s="16"/>
      <c r="C132" s="17" t="s">
        <v>329</v>
      </c>
      <c r="D132" s="49" t="s">
        <v>330</v>
      </c>
      <c r="E132" s="49"/>
      <c r="F132" s="49"/>
      <c r="G132" s="49"/>
      <c r="H132" s="49"/>
      <c r="I132" s="49"/>
      <c r="J132" s="49"/>
      <c r="K132" s="49"/>
      <c r="L132" s="49"/>
      <c r="M132" s="49"/>
      <c r="N132" s="50"/>
      <c r="O132" s="32"/>
    </row>
    <row r="133" spans="2:15" s="15" customFormat="1" ht="12.75">
      <c r="B133" s="16"/>
      <c r="C133" s="17" t="s">
        <v>331</v>
      </c>
      <c r="D133" s="51" t="s">
        <v>332</v>
      </c>
      <c r="E133" s="51"/>
      <c r="F133" s="51"/>
      <c r="G133" s="51"/>
      <c r="H133" s="51"/>
      <c r="I133" s="51"/>
      <c r="J133" s="51"/>
      <c r="K133" s="51"/>
      <c r="L133" s="51"/>
      <c r="M133" s="51"/>
      <c r="N133" s="52"/>
      <c r="O133" s="35"/>
    </row>
    <row r="134" spans="2:15" ht="38.25">
      <c r="B134" s="18">
        <v>74</v>
      </c>
      <c r="C134" s="19" t="s">
        <v>333</v>
      </c>
      <c r="D134" s="20" t="s">
        <v>334</v>
      </c>
      <c r="E134" s="20" t="s">
        <v>335</v>
      </c>
      <c r="F134" s="21">
        <v>0.42</v>
      </c>
      <c r="G134" s="22">
        <v>1</v>
      </c>
      <c r="H134" s="23">
        <f>F134 * G134 * 30892.055267</f>
        <v>12974.66321214</v>
      </c>
      <c r="I134" s="23">
        <f>F134 * G134 * 48370.310861</f>
        <v>20315.530561619998</v>
      </c>
      <c r="J134" s="23">
        <f>F134 * G134 * 0</f>
        <v>0</v>
      </c>
      <c r="K134" s="23">
        <f>F134 * G134 * 29409.236615</f>
        <v>12351.8793783</v>
      </c>
      <c r="L134" s="23">
        <f>F134 * G134 * 12116.6764549999</f>
        <v>5089.0041110999582</v>
      </c>
      <c r="M134" s="23">
        <f>F134 * G134 * 6178.411053</f>
        <v>2594.9326422599997</v>
      </c>
      <c r="N134" s="29">
        <f>SUM(H134:M134)</f>
        <v>53326.009905419953</v>
      </c>
      <c r="O134" s="33">
        <v>0.11089347338070511</v>
      </c>
    </row>
    <row r="135" spans="2:15" s="15" customFormat="1" ht="12.75">
      <c r="B135" s="16"/>
      <c r="C135" s="17" t="s">
        <v>336</v>
      </c>
      <c r="D135" s="51" t="s">
        <v>337</v>
      </c>
      <c r="E135" s="51"/>
      <c r="F135" s="51"/>
      <c r="G135" s="51"/>
      <c r="H135" s="51"/>
      <c r="I135" s="51"/>
      <c r="J135" s="51"/>
      <c r="K135" s="51"/>
      <c r="L135" s="51"/>
      <c r="M135" s="51"/>
      <c r="N135" s="52"/>
      <c r="O135" s="35"/>
    </row>
    <row r="136" spans="2:15" ht="38.25">
      <c r="B136" s="18">
        <v>75</v>
      </c>
      <c r="C136" s="19" t="s">
        <v>338</v>
      </c>
      <c r="D136" s="20" t="s">
        <v>339</v>
      </c>
      <c r="E136" s="20" t="s">
        <v>340</v>
      </c>
      <c r="F136" s="21">
        <v>0.14000000000000001</v>
      </c>
      <c r="G136" s="22">
        <v>1</v>
      </c>
      <c r="H136" s="23">
        <f>F136 * G136 * 8294.645851</f>
        <v>1161.2504191400001</v>
      </c>
      <c r="I136" s="23">
        <f>F136 * G136 * 80378.50512</f>
        <v>11252.990716800001</v>
      </c>
      <c r="J136" s="23">
        <f>F136 * G136 * 0</f>
        <v>0</v>
      </c>
      <c r="K136" s="23">
        <f>F136 * G136 * 7896.50285</f>
        <v>1105.510399</v>
      </c>
      <c r="L136" s="23">
        <f>F136 * G136 * 10363.115506</f>
        <v>1450.8361708400002</v>
      </c>
      <c r="M136" s="23">
        <f>F136 * G136 * 1658.92917</f>
        <v>232.25008380000003</v>
      </c>
      <c r="N136" s="29">
        <f>SUM(H136:M136)</f>
        <v>15202.837789580002</v>
      </c>
      <c r="O136" s="33">
        <v>3.1614881569427468E-2</v>
      </c>
    </row>
    <row r="137" spans="2:15" s="15" customFormat="1" ht="12.75">
      <c r="B137" s="16"/>
      <c r="C137" s="17" t="s">
        <v>341</v>
      </c>
      <c r="D137" s="51" t="s">
        <v>342</v>
      </c>
      <c r="E137" s="51"/>
      <c r="F137" s="51"/>
      <c r="G137" s="51"/>
      <c r="H137" s="51"/>
      <c r="I137" s="51"/>
      <c r="J137" s="51"/>
      <c r="K137" s="51"/>
      <c r="L137" s="51"/>
      <c r="M137" s="51"/>
      <c r="N137" s="52"/>
      <c r="O137" s="35"/>
    </row>
    <row r="138" spans="2:15">
      <c r="B138" s="18">
        <v>76</v>
      </c>
      <c r="C138" s="19" t="s">
        <v>343</v>
      </c>
      <c r="D138" s="20" t="s">
        <v>344</v>
      </c>
      <c r="E138" s="20" t="s">
        <v>345</v>
      </c>
      <c r="F138" s="21">
        <v>0.14000000000000001</v>
      </c>
      <c r="G138" s="22">
        <v>1</v>
      </c>
      <c r="H138" s="23">
        <f>F138 * G138 * 17956.673957</f>
        <v>2513.9343539800002</v>
      </c>
      <c r="I138" s="23">
        <f>F138 * G138 * 40150.251103</f>
        <v>5621.0351544200012</v>
      </c>
      <c r="J138" s="23">
        <f>F138 * G138 * 0</f>
        <v>0</v>
      </c>
      <c r="K138" s="23">
        <f>F138 * G138 * 17094.753607</f>
        <v>2393.2655049800001</v>
      </c>
      <c r="L138" s="23">
        <f>F138 * G138 * 8312.66291999999</f>
        <v>1163.7728087999988</v>
      </c>
      <c r="M138" s="23">
        <f>F138 * G138 * 3591.334791</f>
        <v>502.7868707400001</v>
      </c>
      <c r="N138" s="29">
        <f>SUM(H138:M138)</f>
        <v>12194.794692919999</v>
      </c>
      <c r="O138" s="33">
        <v>2.5359541114382916E-2</v>
      </c>
    </row>
    <row r="139" spans="2:15" s="15" customFormat="1" ht="12.75">
      <c r="B139" s="16"/>
      <c r="C139" s="17" t="s">
        <v>346</v>
      </c>
      <c r="D139" s="51" t="s">
        <v>347</v>
      </c>
      <c r="E139" s="51"/>
      <c r="F139" s="51"/>
      <c r="G139" s="51"/>
      <c r="H139" s="51"/>
      <c r="I139" s="51"/>
      <c r="J139" s="51"/>
      <c r="K139" s="51"/>
      <c r="L139" s="51"/>
      <c r="M139" s="51"/>
      <c r="N139" s="52"/>
      <c r="O139" s="35"/>
    </row>
    <row r="140" spans="2:15" ht="38.25">
      <c r="B140" s="18">
        <v>77</v>
      </c>
      <c r="C140" s="19" t="s">
        <v>348</v>
      </c>
      <c r="D140" s="20" t="s">
        <v>349</v>
      </c>
      <c r="E140" s="20" t="s">
        <v>350</v>
      </c>
      <c r="F140" s="21">
        <v>0.14000000000000001</v>
      </c>
      <c r="G140" s="22">
        <v>1</v>
      </c>
      <c r="H140" s="23">
        <f>F140 * G140 * 29.14335</f>
        <v>4.0800690000000008</v>
      </c>
      <c r="I140" s="23">
        <f>F140 * G140 * 15.353185</f>
        <v>2.1494459000000004</v>
      </c>
      <c r="J140" s="23">
        <f>F140 * G140 * 0</f>
        <v>0</v>
      </c>
      <c r="K140" s="23">
        <f>F140 * G140 * 27.74447</f>
        <v>3.8842258000000003</v>
      </c>
      <c r="L140" s="23">
        <f>F140 * G140 * 8.23635</f>
        <v>1.153089</v>
      </c>
      <c r="M140" s="23">
        <f>F140 * G140 * 5.82867</f>
        <v>0.81601380000000001</v>
      </c>
      <c r="N140" s="29">
        <f>SUM(H140:M140)</f>
        <v>12.082843500000001</v>
      </c>
      <c r="O140" s="33">
        <v>2.5126734334838921E-5</v>
      </c>
    </row>
    <row r="141" spans="2:15" s="15" customFormat="1" ht="12.75">
      <c r="B141" s="16"/>
      <c r="C141" s="17" t="s">
        <v>351</v>
      </c>
      <c r="D141" s="49" t="s">
        <v>352</v>
      </c>
      <c r="E141" s="49"/>
      <c r="F141" s="49"/>
      <c r="G141" s="49"/>
      <c r="H141" s="49"/>
      <c r="I141" s="49"/>
      <c r="J141" s="49"/>
      <c r="K141" s="49"/>
      <c r="L141" s="49"/>
      <c r="M141" s="49"/>
      <c r="N141" s="50"/>
      <c r="O141" s="32"/>
    </row>
    <row r="142" spans="2:15" s="15" customFormat="1" ht="12.75">
      <c r="B142" s="16"/>
      <c r="C142" s="17" t="s">
        <v>353</v>
      </c>
      <c r="D142" s="51" t="s">
        <v>354</v>
      </c>
      <c r="E142" s="51"/>
      <c r="F142" s="51"/>
      <c r="G142" s="51"/>
      <c r="H142" s="51"/>
      <c r="I142" s="51"/>
      <c r="J142" s="51"/>
      <c r="K142" s="51"/>
      <c r="L142" s="51"/>
      <c r="M142" s="51"/>
      <c r="N142" s="52"/>
      <c r="O142" s="35"/>
    </row>
    <row r="143" spans="2:15" ht="25.5">
      <c r="B143" s="18">
        <v>78</v>
      </c>
      <c r="C143" s="19" t="s">
        <v>355</v>
      </c>
      <c r="D143" s="20" t="s">
        <v>356</v>
      </c>
      <c r="E143" s="20" t="s">
        <v>357</v>
      </c>
      <c r="F143" s="21">
        <v>7</v>
      </c>
      <c r="G143" s="22">
        <v>0.3</v>
      </c>
      <c r="H143" s="23">
        <f>F143 * G143 * 303.493081</f>
        <v>637.33547010000007</v>
      </c>
      <c r="I143" s="23">
        <f>F143 * G143 * 0</f>
        <v>0</v>
      </c>
      <c r="J143" s="23">
        <f t="shared" ref="J143:J148" si="5">F143 * G143 * 0</f>
        <v>0</v>
      </c>
      <c r="K143" s="23">
        <f>F143 * G143 * 288.925413</f>
        <v>606.74336730000005</v>
      </c>
      <c r="L143" s="23">
        <f>F143 * G143 * 68.903856</f>
        <v>144.69809760000001</v>
      </c>
      <c r="M143" s="23">
        <f>F143 * G143 * 60.698616</f>
        <v>127.46709360000001</v>
      </c>
      <c r="N143" s="29">
        <f t="shared" ref="N143:N148" si="6">SUM(H143:M143)</f>
        <v>1516.2440286000001</v>
      </c>
      <c r="O143" s="33">
        <v>3.1530873418511222E-3</v>
      </c>
    </row>
    <row r="144" spans="2:15">
      <c r="B144" s="18">
        <v>79</v>
      </c>
      <c r="C144" s="19" t="s">
        <v>358</v>
      </c>
      <c r="D144" s="20" t="s">
        <v>359</v>
      </c>
      <c r="E144" s="20" t="s">
        <v>360</v>
      </c>
      <c r="F144" s="21">
        <v>7</v>
      </c>
      <c r="G144" s="22">
        <v>0.3</v>
      </c>
      <c r="H144" s="23">
        <f>F144 * G144 * 123.926341</f>
        <v>260.24531610000003</v>
      </c>
      <c r="I144" s="23">
        <f>F144 * G144 * 22560</f>
        <v>47376</v>
      </c>
      <c r="J144" s="23">
        <f t="shared" si="5"/>
        <v>0</v>
      </c>
      <c r="K144" s="23">
        <f>F144 * G144 * 117.977877</f>
        <v>247.75354170000003</v>
      </c>
      <c r="L144" s="23">
        <f>F144 * G144 * 2408.21574</f>
        <v>5057.2530540000007</v>
      </c>
      <c r="M144" s="23">
        <f>F144 * G144 * 24.785268</f>
        <v>52.049062800000002</v>
      </c>
      <c r="N144" s="29">
        <f t="shared" si="6"/>
        <v>52993.300974600003</v>
      </c>
      <c r="O144" s="33">
        <v>0.11020159245751504</v>
      </c>
    </row>
    <row r="145" spans="2:15" ht="25.5">
      <c r="B145" s="18">
        <v>80</v>
      </c>
      <c r="C145" s="19" t="s">
        <v>361</v>
      </c>
      <c r="D145" s="20" t="s">
        <v>362</v>
      </c>
      <c r="E145" s="20" t="s">
        <v>363</v>
      </c>
      <c r="F145" s="21">
        <v>7</v>
      </c>
      <c r="G145" s="22">
        <v>1</v>
      </c>
      <c r="H145" s="23">
        <f>F145 * G145 * 212.445157</f>
        <v>1487.1160989999998</v>
      </c>
      <c r="I145" s="23">
        <f>F145 * G145 * 0</f>
        <v>0</v>
      </c>
      <c r="J145" s="23">
        <f t="shared" si="5"/>
        <v>0</v>
      </c>
      <c r="K145" s="23">
        <f>F145 * G145 * 202.247789</f>
        <v>1415.7345230000001</v>
      </c>
      <c r="L145" s="23">
        <f>F145 * G145 * 48.232699</f>
        <v>337.62889299999995</v>
      </c>
      <c r="M145" s="23">
        <f>F145 * G145 * 42.489031</f>
        <v>297.42321699999997</v>
      </c>
      <c r="N145" s="29">
        <f t="shared" si="6"/>
        <v>3537.902732</v>
      </c>
      <c r="O145" s="33">
        <v>7.3572037947412646E-3</v>
      </c>
    </row>
    <row r="146" spans="2:15" ht="38.25">
      <c r="B146" s="18">
        <v>81</v>
      </c>
      <c r="C146" s="19" t="s">
        <v>364</v>
      </c>
      <c r="D146" s="20" t="s">
        <v>365</v>
      </c>
      <c r="E146" s="20" t="s">
        <v>366</v>
      </c>
      <c r="F146" s="21">
        <v>7</v>
      </c>
      <c r="G146" s="22">
        <v>1</v>
      </c>
      <c r="H146" s="23">
        <f>F146 * G146 * 235.207138</f>
        <v>1646.4499659999999</v>
      </c>
      <c r="I146" s="23">
        <f>F146 * G146 * 0</f>
        <v>0</v>
      </c>
      <c r="J146" s="23">
        <f t="shared" si="5"/>
        <v>0</v>
      </c>
      <c r="K146" s="23">
        <f>F146 * G146 * 223.917196</f>
        <v>1567.420372</v>
      </c>
      <c r="L146" s="23">
        <f>F146 * G146 * 53.4004879999999</f>
        <v>373.80341599999934</v>
      </c>
      <c r="M146" s="23">
        <f>F146 * G146 * 47.041428</f>
        <v>329.28999600000003</v>
      </c>
      <c r="N146" s="29">
        <f t="shared" si="6"/>
        <v>3916.963749999999</v>
      </c>
      <c r="O146" s="33">
        <v>8.1454756527670324E-3</v>
      </c>
    </row>
    <row r="147" spans="2:15" ht="25.5">
      <c r="B147" s="18">
        <v>82</v>
      </c>
      <c r="C147" s="19" t="s">
        <v>367</v>
      </c>
      <c r="D147" s="20" t="s">
        <v>368</v>
      </c>
      <c r="E147" s="20" t="s">
        <v>369</v>
      </c>
      <c r="F147" s="21">
        <v>7</v>
      </c>
      <c r="G147" s="22">
        <v>1</v>
      </c>
      <c r="H147" s="23">
        <f>F147 * G147 * 1267.083613</f>
        <v>8869.5852909999994</v>
      </c>
      <c r="I147" s="23">
        <f>F147 * G147 * 0</f>
        <v>0</v>
      </c>
      <c r="J147" s="23">
        <f t="shared" si="5"/>
        <v>0</v>
      </c>
      <c r="K147" s="23">
        <f>F147 * G147 * 1206.26359899999</f>
        <v>8443.8451929999301</v>
      </c>
      <c r="L147" s="23">
        <f>F147 * G147 * 287.673595</f>
        <v>2013.7151649999998</v>
      </c>
      <c r="M147" s="23">
        <f>F147 * G147 * 253.416723</f>
        <v>1773.9170609999999</v>
      </c>
      <c r="N147" s="29">
        <f t="shared" si="6"/>
        <v>21101.062709999933</v>
      </c>
      <c r="O147" s="33">
        <v>4.3880465463029837E-2</v>
      </c>
    </row>
    <row r="148" spans="2:15" ht="25.5">
      <c r="B148" s="18">
        <v>83</v>
      </c>
      <c r="C148" s="19" t="s">
        <v>370</v>
      </c>
      <c r="D148" s="20" t="s">
        <v>371</v>
      </c>
      <c r="E148" s="20" t="s">
        <v>372</v>
      </c>
      <c r="F148" s="21">
        <v>1.4</v>
      </c>
      <c r="G148" s="22">
        <v>1</v>
      </c>
      <c r="H148" s="23">
        <f>F148 * G148 * 21248.768653</f>
        <v>29748.276114199998</v>
      </c>
      <c r="I148" s="23">
        <f>F148 * G148 * 316783.75086</f>
        <v>443497.25120399991</v>
      </c>
      <c r="J148" s="23">
        <f t="shared" si="5"/>
        <v>0</v>
      </c>
      <c r="K148" s="23">
        <f>F148 * G148 * 20228.827757</f>
        <v>28320.358859799999</v>
      </c>
      <c r="L148" s="23">
        <f>F148 * G148 * 38244.921156</f>
        <v>53542.88961839999</v>
      </c>
      <c r="M148" s="23">
        <f>F148 * G148 * 4249.753731</f>
        <v>5949.6552233999992</v>
      </c>
      <c r="N148" s="29">
        <f t="shared" si="6"/>
        <v>561058.4310197999</v>
      </c>
      <c r="O148" s="33">
        <v>1.1667424263631372</v>
      </c>
    </row>
    <row r="149" spans="2:15" s="15" customFormat="1" ht="12.75">
      <c r="B149" s="16"/>
      <c r="C149" s="17" t="s">
        <v>373</v>
      </c>
      <c r="D149" s="49" t="s">
        <v>374</v>
      </c>
      <c r="E149" s="49"/>
      <c r="F149" s="49"/>
      <c r="G149" s="49"/>
      <c r="H149" s="49"/>
      <c r="I149" s="49"/>
      <c r="J149" s="49"/>
      <c r="K149" s="49"/>
      <c r="L149" s="49"/>
      <c r="M149" s="49"/>
      <c r="N149" s="50"/>
      <c r="O149" s="32"/>
    </row>
    <row r="150" spans="2:15" s="15" customFormat="1" ht="12.75">
      <c r="B150" s="16"/>
      <c r="C150" s="17" t="s">
        <v>375</v>
      </c>
      <c r="D150" s="51" t="s">
        <v>376</v>
      </c>
      <c r="E150" s="51"/>
      <c r="F150" s="51"/>
      <c r="G150" s="51"/>
      <c r="H150" s="51"/>
      <c r="I150" s="51"/>
      <c r="J150" s="51"/>
      <c r="K150" s="51"/>
      <c r="L150" s="51"/>
      <c r="M150" s="51"/>
      <c r="N150" s="52"/>
      <c r="O150" s="35"/>
    </row>
    <row r="151" spans="2:15" ht="38.25">
      <c r="B151" s="18">
        <v>84</v>
      </c>
      <c r="C151" s="19" t="s">
        <v>377</v>
      </c>
      <c r="D151" s="20" t="s">
        <v>378</v>
      </c>
      <c r="E151" s="20" t="s">
        <v>88</v>
      </c>
      <c r="F151" s="21">
        <v>1.4</v>
      </c>
      <c r="G151" s="22">
        <v>1</v>
      </c>
      <c r="H151" s="23">
        <f>F151 * G151 * 9513.057914</f>
        <v>13318.281079600001</v>
      </c>
      <c r="I151" s="23">
        <f>F151 * G151 * 1758.95491</f>
        <v>2462.5368739999999</v>
      </c>
      <c r="J151" s="23">
        <f>F151 * G151 * 0</f>
        <v>0</v>
      </c>
      <c r="K151" s="23">
        <f>F151 * G151 * 9056.431134</f>
        <v>12679.0035876</v>
      </c>
      <c r="L151" s="23">
        <f>F151 * G151 * 2345.37636</f>
        <v>3283.5269040000003</v>
      </c>
      <c r="M151" s="23">
        <f>F151 * G151 * 1902.611583</f>
        <v>2663.6562162</v>
      </c>
      <c r="N151" s="29">
        <f>SUM(H151:M151)</f>
        <v>34407.004661399995</v>
      </c>
      <c r="O151" s="33">
        <v>7.1550679720759611E-2</v>
      </c>
    </row>
    <row r="152" spans="2:15" s="15" customFormat="1" ht="12.75">
      <c r="B152" s="16"/>
      <c r="C152" s="17" t="s">
        <v>379</v>
      </c>
      <c r="D152" s="49" t="s">
        <v>380</v>
      </c>
      <c r="E152" s="49"/>
      <c r="F152" s="49"/>
      <c r="G152" s="49"/>
      <c r="H152" s="49"/>
      <c r="I152" s="49"/>
      <c r="J152" s="49"/>
      <c r="K152" s="49"/>
      <c r="L152" s="49"/>
      <c r="M152" s="49"/>
      <c r="N152" s="50"/>
      <c r="O152" s="32">
        <v>0</v>
      </c>
    </row>
    <row r="153" spans="2:15" ht="25.5">
      <c r="B153" s="18">
        <v>85</v>
      </c>
      <c r="C153" s="19" t="s">
        <v>381</v>
      </c>
      <c r="D153" s="20" t="s">
        <v>382</v>
      </c>
      <c r="E153" s="20" t="s">
        <v>39</v>
      </c>
      <c r="F153" s="21">
        <v>0.35</v>
      </c>
      <c r="G153" s="22">
        <v>1</v>
      </c>
      <c r="H153" s="23">
        <f>F153 * G153 * 24570.161698</f>
        <v>8599.5565943000001</v>
      </c>
      <c r="I153" s="23">
        <f>F153 * G153 * 60577.136641</f>
        <v>21201.997824349997</v>
      </c>
      <c r="J153" s="23">
        <f>F153 * G153 * 0</f>
        <v>0</v>
      </c>
      <c r="K153" s="23">
        <f>F153 * G153 * 23390.793937</f>
        <v>8186.7778779499986</v>
      </c>
      <c r="L153" s="23">
        <f>F153 * G153 * 11969.199147</f>
        <v>4189.2197014499998</v>
      </c>
      <c r="M153" s="23">
        <f>F153 * G153 * 4914.03234</f>
        <v>1719.9113189999998</v>
      </c>
      <c r="N153" s="29">
        <f>SUM(H153:M153)</f>
        <v>43897.463317049995</v>
      </c>
      <c r="O153" s="33">
        <v>9.128645080446933E-2</v>
      </c>
    </row>
    <row r="154" spans="2:15">
      <c r="B154" s="18">
        <v>86</v>
      </c>
      <c r="C154" s="19" t="s">
        <v>383</v>
      </c>
      <c r="D154" s="20" t="s">
        <v>384</v>
      </c>
      <c r="E154" s="20" t="s">
        <v>39</v>
      </c>
      <c r="F154" s="21">
        <v>7.0000000000000007E-2</v>
      </c>
      <c r="G154" s="22">
        <v>1</v>
      </c>
      <c r="H154" s="23">
        <f>F154 * G154 * 100666.099382</f>
        <v>7046.6269567400004</v>
      </c>
      <c r="I154" s="23">
        <f>F154 * G154 * 770800.454659</f>
        <v>53956.031826130005</v>
      </c>
      <c r="J154" s="23">
        <f>F154 * G154 * 0</f>
        <v>0</v>
      </c>
      <c r="K154" s="23">
        <f>F154 * G154 * 95834.126611</f>
        <v>6708.3888627700007</v>
      </c>
      <c r="L154" s="23">
        <f>F154 * G154 * 104174.276506</f>
        <v>7292.1993554200008</v>
      </c>
      <c r="M154" s="23">
        <f>F154 * G154 * 20133.219876</f>
        <v>1409.3253913200001</v>
      </c>
      <c r="N154" s="29">
        <f>SUM(H154:M154)</f>
        <v>76412.572392380011</v>
      </c>
      <c r="O154" s="33">
        <v>0.15890286142868434</v>
      </c>
    </row>
    <row r="155" spans="2:15" s="12" customFormat="1" ht="15">
      <c r="B155" s="13"/>
      <c r="C155" s="14" t="s">
        <v>385</v>
      </c>
      <c r="D155" s="47" t="s">
        <v>386</v>
      </c>
      <c r="E155" s="47"/>
      <c r="F155" s="47"/>
      <c r="G155" s="47"/>
      <c r="H155" s="47"/>
      <c r="I155" s="47"/>
      <c r="J155" s="47"/>
      <c r="K155" s="47"/>
      <c r="L155" s="47"/>
      <c r="M155" s="47"/>
      <c r="N155" s="48"/>
      <c r="O155" s="34"/>
    </row>
    <row r="156" spans="2:15" s="15" customFormat="1" ht="12.75">
      <c r="B156" s="16"/>
      <c r="C156" s="17" t="s">
        <v>387</v>
      </c>
      <c r="D156" s="49" t="s">
        <v>388</v>
      </c>
      <c r="E156" s="49"/>
      <c r="F156" s="49"/>
      <c r="G156" s="49"/>
      <c r="H156" s="49"/>
      <c r="I156" s="49"/>
      <c r="J156" s="49"/>
      <c r="K156" s="49"/>
      <c r="L156" s="49"/>
      <c r="M156" s="49"/>
      <c r="N156" s="50"/>
      <c r="O156" s="32"/>
    </row>
    <row r="157" spans="2:15" ht="38.25">
      <c r="B157" s="18">
        <v>87</v>
      </c>
      <c r="C157" s="19" t="s">
        <v>389</v>
      </c>
      <c r="D157" s="20" t="s">
        <v>390</v>
      </c>
      <c r="E157" s="20" t="s">
        <v>335</v>
      </c>
      <c r="F157" s="21">
        <v>0.7</v>
      </c>
      <c r="G157" s="22">
        <v>1</v>
      </c>
      <c r="H157" s="23">
        <f>F157 * G157 * 15959.396123</f>
        <v>11171.5772861</v>
      </c>
      <c r="I157" s="23">
        <f>F157 * G157 * 69152.472644</f>
        <v>48406.730850799991</v>
      </c>
      <c r="J157" s="23">
        <f>F157 * G157 * 0</f>
        <v>0</v>
      </c>
      <c r="K157" s="23">
        <f>F157 * G157 * 15193.345109</f>
        <v>10635.341576299999</v>
      </c>
      <c r="L157" s="23">
        <f>F157 * G157 * 10918.943323</f>
        <v>7643.2603260999995</v>
      </c>
      <c r="M157" s="23">
        <f>F157 * G157 * 3191.879225</f>
        <v>2234.3154574999999</v>
      </c>
      <c r="N157" s="29">
        <f>SUM(H157:M157)</f>
        <v>80091.225496799991</v>
      </c>
      <c r="O157" s="33">
        <v>0.16655276099618196</v>
      </c>
    </row>
    <row r="158" spans="2:15" ht="38.25">
      <c r="B158" s="18">
        <v>88</v>
      </c>
      <c r="C158" s="19" t="s">
        <v>391</v>
      </c>
      <c r="D158" s="20" t="s">
        <v>392</v>
      </c>
      <c r="E158" s="20" t="s">
        <v>335</v>
      </c>
      <c r="F158" s="21">
        <v>0.7</v>
      </c>
      <c r="G158" s="22">
        <v>1</v>
      </c>
      <c r="H158" s="23">
        <f>F158 * G158 * 15959.396123</f>
        <v>11171.5772861</v>
      </c>
      <c r="I158" s="23">
        <f>F158 * G158 * 69152.472644</f>
        <v>48406.730850799991</v>
      </c>
      <c r="J158" s="23">
        <f>F158 * G158 * 0</f>
        <v>0</v>
      </c>
      <c r="K158" s="23">
        <f>F158 * G158 * 15193.345109</f>
        <v>10635.341576299999</v>
      </c>
      <c r="L158" s="23">
        <f>F158 * G158 * 10918.943323</f>
        <v>7643.2603260999995</v>
      </c>
      <c r="M158" s="23">
        <f>F158 * G158 * 3191.879225</f>
        <v>2234.3154574999999</v>
      </c>
      <c r="N158" s="29">
        <f>SUM(H158:M158)</f>
        <v>80091.225496799991</v>
      </c>
      <c r="O158" s="33">
        <v>0.16655276099618196</v>
      </c>
    </row>
    <row r="159" spans="2:15" s="15" customFormat="1" ht="12.75">
      <c r="B159" s="16"/>
      <c r="C159" s="17" t="s">
        <v>393</v>
      </c>
      <c r="D159" s="49" t="s">
        <v>394</v>
      </c>
      <c r="E159" s="49"/>
      <c r="F159" s="49"/>
      <c r="G159" s="49"/>
      <c r="H159" s="49"/>
      <c r="I159" s="49"/>
      <c r="J159" s="49"/>
      <c r="K159" s="49"/>
      <c r="L159" s="49"/>
      <c r="M159" s="49"/>
      <c r="N159" s="50"/>
      <c r="O159" s="32"/>
    </row>
    <row r="160" spans="2:15" ht="38.25">
      <c r="B160" s="18">
        <v>89</v>
      </c>
      <c r="C160" s="19" t="s">
        <v>395</v>
      </c>
      <c r="D160" s="20" t="s">
        <v>396</v>
      </c>
      <c r="E160" s="20" t="s">
        <v>335</v>
      </c>
      <c r="F160" s="21">
        <v>0.35</v>
      </c>
      <c r="G160" s="22">
        <v>1</v>
      </c>
      <c r="H160" s="23">
        <f>F160 * G160 * 60202.24547</f>
        <v>21070.7859145</v>
      </c>
      <c r="I160" s="23">
        <f>F160 * G160 * 310457.843239</f>
        <v>108660.24513364999</v>
      </c>
      <c r="J160" s="23">
        <f>F160 * G160 * 0</f>
        <v>0</v>
      </c>
      <c r="K160" s="23">
        <f>F160 * G160 * 57312.537688</f>
        <v>20059.388190799997</v>
      </c>
      <c r="L160" s="23">
        <f>F160 * G160 * 46421.3794639999</f>
        <v>16247.482812399998</v>
      </c>
      <c r="M160" s="23">
        <f>F160 * G160 * 12040.449094</f>
        <v>4214.1571828999995</v>
      </c>
      <c r="N160" s="29">
        <f>SUM(H160:M160)</f>
        <v>170252.05923424999</v>
      </c>
      <c r="O160" s="33">
        <v>0.35404565674778943</v>
      </c>
    </row>
    <row r="161" spans="2:15" s="15" customFormat="1" ht="12.75">
      <c r="B161" s="16"/>
      <c r="C161" s="17" t="s">
        <v>397</v>
      </c>
      <c r="D161" s="49" t="s">
        <v>398</v>
      </c>
      <c r="E161" s="49"/>
      <c r="F161" s="49"/>
      <c r="G161" s="49"/>
      <c r="H161" s="49"/>
      <c r="I161" s="49"/>
      <c r="J161" s="49"/>
      <c r="K161" s="49"/>
      <c r="L161" s="49"/>
      <c r="M161" s="49"/>
      <c r="N161" s="50"/>
      <c r="O161" s="32"/>
    </row>
    <row r="162" spans="2:15" s="15" customFormat="1" ht="12.75">
      <c r="B162" s="16"/>
      <c r="C162" s="17" t="s">
        <v>399</v>
      </c>
      <c r="D162" s="51" t="s">
        <v>400</v>
      </c>
      <c r="E162" s="51"/>
      <c r="F162" s="51"/>
      <c r="G162" s="51"/>
      <c r="H162" s="51"/>
      <c r="I162" s="51"/>
      <c r="J162" s="51"/>
      <c r="K162" s="51"/>
      <c r="L162" s="51"/>
      <c r="M162" s="51"/>
      <c r="N162" s="52"/>
      <c r="O162" s="35"/>
    </row>
    <row r="163" spans="2:15" ht="25.5">
      <c r="B163" s="18">
        <v>90</v>
      </c>
      <c r="C163" s="19" t="s">
        <v>401</v>
      </c>
      <c r="D163" s="20" t="s">
        <v>402</v>
      </c>
      <c r="E163" s="20" t="s">
        <v>403</v>
      </c>
      <c r="F163" s="21">
        <v>0.7</v>
      </c>
      <c r="G163" s="22">
        <v>1</v>
      </c>
      <c r="H163" s="23">
        <f>F163 * G163 * 13002.417821</f>
        <v>9101.6924746999994</v>
      </c>
      <c r="I163" s="23">
        <f>F163 * G163 * 3908.797385</f>
        <v>2736.1581694999995</v>
      </c>
      <c r="J163" s="23">
        <f>F163 * G163 * 0</f>
        <v>0</v>
      </c>
      <c r="K163" s="23">
        <f>F163 * G163 * 12378.3017659999</f>
        <v>8664.8112361999301</v>
      </c>
      <c r="L163" s="23">
        <f>F163 * G163 * 3364.39505699999</f>
        <v>2355.0765398999929</v>
      </c>
      <c r="M163" s="23">
        <f>F163 * G163 * 2600.483564</f>
        <v>1820.3384948</v>
      </c>
      <c r="N163" s="29">
        <f>SUM(H163:M163)</f>
        <v>24678.076915099922</v>
      </c>
      <c r="O163" s="33">
        <v>5.1319003059208446E-2</v>
      </c>
    </row>
    <row r="164" spans="2:15" ht="25.5">
      <c r="B164" s="18">
        <v>91</v>
      </c>
      <c r="C164" s="19" t="s">
        <v>404</v>
      </c>
      <c r="D164" s="20" t="s">
        <v>405</v>
      </c>
      <c r="E164" s="20" t="s">
        <v>406</v>
      </c>
      <c r="F164" s="21">
        <v>7</v>
      </c>
      <c r="G164" s="22">
        <v>12</v>
      </c>
      <c r="H164" s="23">
        <f>F164 * G164 * 2264.214138</f>
        <v>190193.98759199999</v>
      </c>
      <c r="I164" s="23">
        <f>F164 * G164 * 1249.269588</f>
        <v>104938.64539200001</v>
      </c>
      <c r="J164" s="23">
        <f>F164 * G164 * 0</f>
        <v>0</v>
      </c>
      <c r="K164" s="23">
        <f>F164 * G164 * 2155.53186</f>
        <v>181064.67624</v>
      </c>
      <c r="L164" s="23">
        <f>F164 * G164 * 645.856063</f>
        <v>54251.909291999997</v>
      </c>
      <c r="M164" s="23">
        <f>F164 * G164 * 452.842828</f>
        <v>38038.797551999996</v>
      </c>
      <c r="N164" s="29">
        <f>SUM(H164:M164)</f>
        <v>568488.01606800011</v>
      </c>
      <c r="O164" s="33">
        <v>1.1821925321039106</v>
      </c>
    </row>
    <row r="165" spans="2:15" ht="25.5">
      <c r="B165" s="18">
        <v>92</v>
      </c>
      <c r="C165" s="19" t="s">
        <v>407</v>
      </c>
      <c r="D165" s="20" t="s">
        <v>408</v>
      </c>
      <c r="E165" s="20" t="s">
        <v>409</v>
      </c>
      <c r="F165" s="21">
        <v>0.7</v>
      </c>
      <c r="G165" s="22">
        <v>1</v>
      </c>
      <c r="H165" s="23">
        <f>F165 * G165 * 6949.568146</f>
        <v>4864.6977021999992</v>
      </c>
      <c r="I165" s="23">
        <f>F165 * G165 * 70998.122544</f>
        <v>49698.685780799999</v>
      </c>
      <c r="J165" s="23">
        <f>F165 * G165 * 0</f>
        <v>0</v>
      </c>
      <c r="K165" s="23">
        <f>F165 * G165 * 6615.988875</f>
        <v>4631.1922125000001</v>
      </c>
      <c r="L165" s="23">
        <f>F165 * G165 * 9068.104082</f>
        <v>6347.6728573999999</v>
      </c>
      <c r="M165" s="23">
        <f>F165 * G165 * 1389.913629</f>
        <v>972.93954029999986</v>
      </c>
      <c r="N165" s="29">
        <f>SUM(H165:M165)</f>
        <v>66515.188093199991</v>
      </c>
      <c r="O165" s="33">
        <v>0.13832087293439471</v>
      </c>
    </row>
    <row r="166" spans="2:15" ht="25.5">
      <c r="B166" s="18">
        <v>93</v>
      </c>
      <c r="C166" s="19" t="s">
        <v>410</v>
      </c>
      <c r="D166" s="20" t="s">
        <v>411</v>
      </c>
      <c r="E166" s="20" t="s">
        <v>412</v>
      </c>
      <c r="F166" s="21">
        <v>0.7</v>
      </c>
      <c r="G166" s="22">
        <v>1</v>
      </c>
      <c r="H166" s="23">
        <f>F166 * G166 * 11881.519733</f>
        <v>8317.0638130999996</v>
      </c>
      <c r="I166" s="23">
        <f>F166 * G166 * 5032.589371</f>
        <v>3522.8125596999998</v>
      </c>
      <c r="J166" s="23">
        <f>F166 * G166 * 0</f>
        <v>0</v>
      </c>
      <c r="K166" s="23">
        <f>F166 * G166 * 11311.2067849999</f>
        <v>7917.84474949993</v>
      </c>
      <c r="L166" s="23">
        <f>F166 * G166 * 3228.470893</f>
        <v>2259.9296251000001</v>
      </c>
      <c r="M166" s="23">
        <f>F166 * G166 * 2376.303947</f>
        <v>1663.4127628999997</v>
      </c>
      <c r="N166" s="29">
        <f>SUM(H166:M166)</f>
        <v>23681.063510299929</v>
      </c>
      <c r="O166" s="33">
        <v>4.9245675621781775E-2</v>
      </c>
    </row>
    <row r="167" spans="2:15" s="15" customFormat="1" ht="12.75">
      <c r="B167" s="16"/>
      <c r="C167" s="17" t="s">
        <v>413</v>
      </c>
      <c r="D167" s="49" t="s">
        <v>414</v>
      </c>
      <c r="E167" s="49"/>
      <c r="F167" s="49"/>
      <c r="G167" s="49"/>
      <c r="H167" s="49"/>
      <c r="I167" s="49"/>
      <c r="J167" s="49"/>
      <c r="K167" s="49"/>
      <c r="L167" s="49"/>
      <c r="M167" s="49"/>
      <c r="N167" s="50"/>
      <c r="O167" s="32"/>
    </row>
    <row r="168" spans="2:15" ht="25.5">
      <c r="B168" s="18">
        <v>94</v>
      </c>
      <c r="C168" s="19" t="s">
        <v>415</v>
      </c>
      <c r="D168" s="20" t="s">
        <v>416</v>
      </c>
      <c r="E168" s="20" t="s">
        <v>285</v>
      </c>
      <c r="F168" s="21">
        <v>0.7</v>
      </c>
      <c r="G168" s="22">
        <v>1</v>
      </c>
      <c r="H168" s="23">
        <f>F168 * G168 * 13799.202083</f>
        <v>9659.4414581000001</v>
      </c>
      <c r="I168" s="23">
        <f>F168 * G168 * 41013.712928</f>
        <v>28709.599049599998</v>
      </c>
      <c r="J168" s="23">
        <f>F168 * G168 * 1.273272</f>
        <v>0.89129039999999993</v>
      </c>
      <c r="K168" s="23">
        <f>F168 * G168 * 13136.8403829999</f>
        <v>9195.7882680999301</v>
      </c>
      <c r="L168" s="23">
        <f>F168 * G168 * 7459.99668799999</f>
        <v>5221.9976815999926</v>
      </c>
      <c r="M168" s="23">
        <f>F168 * G168 * 2759.840417</f>
        <v>1931.8882918999998</v>
      </c>
      <c r="N168" s="29">
        <f>SUM(H168:M168)</f>
        <v>54719.606039699924</v>
      </c>
      <c r="O168" s="33">
        <v>0.11379150974409187</v>
      </c>
    </row>
    <row r="169" spans="2:15" s="12" customFormat="1" ht="15">
      <c r="B169" s="13"/>
      <c r="C169" s="14" t="s">
        <v>417</v>
      </c>
      <c r="D169" s="47" t="s">
        <v>418</v>
      </c>
      <c r="E169" s="47"/>
      <c r="F169" s="47"/>
      <c r="G169" s="47"/>
      <c r="H169" s="47"/>
      <c r="I169" s="47"/>
      <c r="J169" s="47"/>
      <c r="K169" s="47"/>
      <c r="L169" s="47"/>
      <c r="M169" s="47"/>
      <c r="N169" s="48"/>
      <c r="O169" s="34"/>
    </row>
    <row r="170" spans="2:15" s="15" customFormat="1" ht="12.75">
      <c r="B170" s="16"/>
      <c r="C170" s="17" t="s">
        <v>419</v>
      </c>
      <c r="D170" s="49" t="s">
        <v>420</v>
      </c>
      <c r="E170" s="49"/>
      <c r="F170" s="49"/>
      <c r="G170" s="49"/>
      <c r="H170" s="49"/>
      <c r="I170" s="49"/>
      <c r="J170" s="49"/>
      <c r="K170" s="49"/>
      <c r="L170" s="49"/>
      <c r="M170" s="49"/>
      <c r="N170" s="50"/>
      <c r="O170" s="32"/>
    </row>
    <row r="171" spans="2:15" s="15" customFormat="1" ht="12.75">
      <c r="B171" s="16"/>
      <c r="C171" s="17" t="s">
        <v>421</v>
      </c>
      <c r="D171" s="51" t="s">
        <v>422</v>
      </c>
      <c r="E171" s="51"/>
      <c r="F171" s="51"/>
      <c r="G171" s="51"/>
      <c r="H171" s="51"/>
      <c r="I171" s="51"/>
      <c r="J171" s="51"/>
      <c r="K171" s="51"/>
      <c r="L171" s="51"/>
      <c r="M171" s="51"/>
      <c r="N171" s="52"/>
      <c r="O171" s="35"/>
    </row>
    <row r="172" spans="2:15" ht="25.5">
      <c r="B172" s="18">
        <v>95</v>
      </c>
      <c r="C172" s="19" t="s">
        <v>423</v>
      </c>
      <c r="D172" s="20" t="s">
        <v>424</v>
      </c>
      <c r="E172" s="20" t="s">
        <v>425</v>
      </c>
      <c r="F172" s="21">
        <v>51.03</v>
      </c>
      <c r="G172" s="22">
        <v>1</v>
      </c>
      <c r="H172" s="23">
        <f>F172 * G172 * 2373.852336</f>
        <v>121137.68470607999</v>
      </c>
      <c r="I172" s="23">
        <f>F172 * G172 * 1099.058658</f>
        <v>56084.963317739996</v>
      </c>
      <c r="J172" s="23">
        <f>F172 * G172 * 0</f>
        <v>0</v>
      </c>
      <c r="K172" s="23">
        <f>F172 * G172 * 2259.907423</f>
        <v>115323.07579569001</v>
      </c>
      <c r="L172" s="23">
        <f>F172 * G172 * 654.900627</f>
        <v>33419.578995809999</v>
      </c>
      <c r="M172" s="23">
        <f>F172 * G172 * 474.770467</f>
        <v>24227.53693101</v>
      </c>
      <c r="N172" s="29">
        <f>SUM(H172:M172)</f>
        <v>350192.83974632999</v>
      </c>
      <c r="O172" s="33">
        <v>0.72823937927101789</v>
      </c>
    </row>
    <row r="173" spans="2:15" s="15" customFormat="1" ht="12.75">
      <c r="B173" s="16"/>
      <c r="C173" s="17" t="s">
        <v>426</v>
      </c>
      <c r="D173" s="51" t="s">
        <v>427</v>
      </c>
      <c r="E173" s="51"/>
      <c r="F173" s="51"/>
      <c r="G173" s="51"/>
      <c r="H173" s="51"/>
      <c r="I173" s="51"/>
      <c r="J173" s="51"/>
      <c r="K173" s="51"/>
      <c r="L173" s="51"/>
      <c r="M173" s="51"/>
      <c r="N173" s="52"/>
      <c r="O173" s="35"/>
    </row>
    <row r="174" spans="2:15" ht="25.5">
      <c r="B174" s="18">
        <v>96</v>
      </c>
      <c r="C174" s="19" t="s">
        <v>428</v>
      </c>
      <c r="D174" s="20" t="s">
        <v>429</v>
      </c>
      <c r="E174" s="20" t="s">
        <v>430</v>
      </c>
      <c r="F174" s="21">
        <v>189</v>
      </c>
      <c r="G174" s="22">
        <v>1</v>
      </c>
      <c r="H174" s="23">
        <f>F174 * G174 * 125.103946</f>
        <v>23644.645794</v>
      </c>
      <c r="I174" s="23">
        <f>F174 * G174 * 172.242854</f>
        <v>32553.899406</v>
      </c>
      <c r="J174" s="23">
        <f>F174 * G174 * 0</f>
        <v>0</v>
      </c>
      <c r="K174" s="23">
        <f>F174 * G174 * 119.098957</f>
        <v>22509.702872999998</v>
      </c>
      <c r="L174" s="23">
        <f>F174 * G174 * 46.574721</f>
        <v>8802.6222689999995</v>
      </c>
      <c r="M174" s="23">
        <f>F174 * G174 * 25.020789</f>
        <v>4728.9291210000001</v>
      </c>
      <c r="N174" s="29">
        <f>SUM(H174:M174)</f>
        <v>92239.799462999988</v>
      </c>
      <c r="O174" s="33">
        <v>0.1918161843448207</v>
      </c>
    </row>
    <row r="175" spans="2:15" ht="25.5">
      <c r="B175" s="18">
        <v>97</v>
      </c>
      <c r="C175" s="19" t="s">
        <v>431</v>
      </c>
      <c r="D175" s="20" t="s">
        <v>432</v>
      </c>
      <c r="E175" s="20" t="s">
        <v>430</v>
      </c>
      <c r="F175" s="21">
        <v>189</v>
      </c>
      <c r="G175" s="22">
        <v>1</v>
      </c>
      <c r="H175" s="23">
        <f>F175 * G175 * 157.918096</f>
        <v>29846.520143999998</v>
      </c>
      <c r="I175" s="23">
        <f>F175 * G175 * 172.242854</f>
        <v>32553.899406</v>
      </c>
      <c r="J175" s="23">
        <f>F175 * G175 * 0</f>
        <v>0</v>
      </c>
      <c r="K175" s="23">
        <f>F175 * G175 * 150.338027</f>
        <v>28413.887103000001</v>
      </c>
      <c r="L175" s="23">
        <f>F175 * G175 * 54.0247139999999</f>
        <v>10210.670945999982</v>
      </c>
      <c r="M175" s="23">
        <f>F175 * G175 * 31.583619</f>
        <v>5969.3039909999998</v>
      </c>
      <c r="N175" s="29">
        <f>SUM(H175:M175)</f>
        <v>106994.28158999998</v>
      </c>
      <c r="O175" s="33">
        <v>0.22249869319741469</v>
      </c>
    </row>
    <row r="176" spans="2:15" s="15" customFormat="1" ht="12.75">
      <c r="B176" s="16"/>
      <c r="C176" s="17" t="s">
        <v>433</v>
      </c>
      <c r="D176" s="51" t="s">
        <v>434</v>
      </c>
      <c r="E176" s="51"/>
      <c r="F176" s="51"/>
      <c r="G176" s="51"/>
      <c r="H176" s="51"/>
      <c r="I176" s="51"/>
      <c r="J176" s="51"/>
      <c r="K176" s="51"/>
      <c r="L176" s="51"/>
      <c r="M176" s="51"/>
      <c r="N176" s="52"/>
      <c r="O176" s="35"/>
    </row>
    <row r="177" spans="2:15" ht="25.5">
      <c r="B177" s="18">
        <v>98</v>
      </c>
      <c r="C177" s="19" t="s">
        <v>435</v>
      </c>
      <c r="D177" s="20" t="s">
        <v>436</v>
      </c>
      <c r="E177" s="20" t="s">
        <v>437</v>
      </c>
      <c r="F177" s="21">
        <v>21</v>
      </c>
      <c r="G177" s="22">
        <v>1</v>
      </c>
      <c r="H177" s="23">
        <f>F177 * G177 * 427.419422</f>
        <v>8975.8078619999997</v>
      </c>
      <c r="I177" s="23">
        <f>F177 * G177 * 252.53199</f>
        <v>5303.1717900000003</v>
      </c>
      <c r="J177" s="23">
        <f>F177 * G177 * 0</f>
        <v>0</v>
      </c>
      <c r="K177" s="23">
        <f>F177 * G177 * 406.903289</f>
        <v>8544.9690689999989</v>
      </c>
      <c r="L177" s="23">
        <f>F177 * G177 * 123.681721</f>
        <v>2597.3161409999998</v>
      </c>
      <c r="M177" s="23">
        <f>F177 * G177 * 85.483884</f>
        <v>1795.161564</v>
      </c>
      <c r="N177" s="29">
        <f>SUM(H177:M177)</f>
        <v>27216.426425999998</v>
      </c>
      <c r="O177" s="33">
        <v>5.6597597771566886E-2</v>
      </c>
    </row>
    <row r="178" spans="2:15" ht="25.5">
      <c r="B178" s="18">
        <v>99</v>
      </c>
      <c r="C178" s="19" t="s">
        <v>438</v>
      </c>
      <c r="D178" s="20" t="s">
        <v>439</v>
      </c>
      <c r="E178" s="20" t="s">
        <v>437</v>
      </c>
      <c r="F178" s="21">
        <v>14</v>
      </c>
      <c r="G178" s="22">
        <v>1</v>
      </c>
      <c r="H178" s="23">
        <f>F178 * G178 * 604.457053</f>
        <v>8462.3987419999994</v>
      </c>
      <c r="I178" s="23">
        <f>F178 * G178 * 424.773503</f>
        <v>5946.8290420000003</v>
      </c>
      <c r="J178" s="23">
        <f>F178 * G178 * 0</f>
        <v>0</v>
      </c>
      <c r="K178" s="23">
        <f>F178 * G178 * 575.443114</f>
        <v>8056.2035960000003</v>
      </c>
      <c r="L178" s="23">
        <f>F178 * G178 * 182.047116</f>
        <v>2548.6596239999999</v>
      </c>
      <c r="M178" s="23">
        <f>F178 * G178 * 120.891411</f>
        <v>1692.479754</v>
      </c>
      <c r="N178" s="29">
        <f>SUM(H178:M178)</f>
        <v>26706.570757999998</v>
      </c>
      <c r="O178" s="33">
        <v>5.553733344562839E-2</v>
      </c>
    </row>
    <row r="179" spans="2:15" ht="25.5">
      <c r="B179" s="18">
        <v>100</v>
      </c>
      <c r="C179" s="19" t="s">
        <v>440</v>
      </c>
      <c r="D179" s="20" t="s">
        <v>441</v>
      </c>
      <c r="E179" s="20" t="s">
        <v>442</v>
      </c>
      <c r="F179" s="21">
        <v>742</v>
      </c>
      <c r="G179" s="22">
        <v>1</v>
      </c>
      <c r="H179" s="23">
        <f>F179 * G179 * 188.877944</f>
        <v>140147.43444800001</v>
      </c>
      <c r="I179" s="23">
        <f>F179 * G179 * 0</f>
        <v>0</v>
      </c>
      <c r="J179" s="23">
        <f>F179 * G179 * 0</f>
        <v>0</v>
      </c>
      <c r="K179" s="23">
        <f>F179 * G179 * 179.811803</f>
        <v>133420.35782599999</v>
      </c>
      <c r="L179" s="23">
        <f>F179 * G179 * 42.882093</f>
        <v>31818.513005999997</v>
      </c>
      <c r="M179" s="23">
        <f>F179 * G179 * 37.775589</f>
        <v>28029.487037999996</v>
      </c>
      <c r="N179" s="29">
        <f>SUM(H179:M179)</f>
        <v>333415.79231800005</v>
      </c>
      <c r="O179" s="33">
        <v>0.69335086866052797</v>
      </c>
    </row>
    <row r="180" spans="2:15" s="15" customFormat="1" ht="12.75">
      <c r="B180" s="16"/>
      <c r="C180" s="17" t="s">
        <v>443</v>
      </c>
      <c r="D180" s="49" t="s">
        <v>444</v>
      </c>
      <c r="E180" s="49"/>
      <c r="F180" s="49"/>
      <c r="G180" s="49"/>
      <c r="H180" s="49"/>
      <c r="I180" s="49"/>
      <c r="J180" s="49"/>
      <c r="K180" s="49"/>
      <c r="L180" s="49"/>
      <c r="M180" s="49"/>
      <c r="N180" s="50"/>
      <c r="O180" s="32"/>
    </row>
    <row r="181" spans="2:15">
      <c r="B181" s="18">
        <v>101</v>
      </c>
      <c r="C181" s="19" t="s">
        <v>445</v>
      </c>
      <c r="D181" s="20" t="s">
        <v>446</v>
      </c>
      <c r="E181" s="20" t="s">
        <v>447</v>
      </c>
      <c r="F181" s="21">
        <v>42</v>
      </c>
      <c r="G181" s="22">
        <v>1</v>
      </c>
      <c r="H181" s="23">
        <f>F181 * G181 * 10.116436</f>
        <v>424.89031199999999</v>
      </c>
      <c r="I181" s="23">
        <f>F181 * G181 * 0</f>
        <v>0</v>
      </c>
      <c r="J181" s="23">
        <f>F181 * G181 * 0</f>
        <v>0</v>
      </c>
      <c r="K181" s="23">
        <f>F181 * G181 * 9.630847</f>
        <v>404.49557399999998</v>
      </c>
      <c r="L181" s="23">
        <f>F181 * G181 * 2.296795</f>
        <v>96.465389999999999</v>
      </c>
      <c r="M181" s="23">
        <f>F181 * G181 * 2.023287</f>
        <v>84.978053999999986</v>
      </c>
      <c r="N181" s="29">
        <f>SUM(H181:M181)</f>
        <v>1010.82933</v>
      </c>
      <c r="O181" s="33">
        <v>2.1020581813190925E-3</v>
      </c>
    </row>
    <row r="182" spans="2:15" ht="25.5">
      <c r="B182" s="18">
        <v>102</v>
      </c>
      <c r="C182" s="19" t="s">
        <v>448</v>
      </c>
      <c r="D182" s="20" t="s">
        <v>449</v>
      </c>
      <c r="E182" s="20" t="s">
        <v>430</v>
      </c>
      <c r="F182" s="21">
        <v>42</v>
      </c>
      <c r="G182" s="22">
        <v>21</v>
      </c>
      <c r="H182" s="23">
        <f>F182 * G182 * 14.356191</f>
        <v>12662.160462</v>
      </c>
      <c r="I182" s="23">
        <f>F182 * G182 * 0</f>
        <v>0</v>
      </c>
      <c r="J182" s="23">
        <f>F182 * G182 * 0</f>
        <v>0</v>
      </c>
      <c r="K182" s="23">
        <f>F182 * G182 * 13.6670939999999</f>
        <v>12054.376907999911</v>
      </c>
      <c r="L182" s="23">
        <f>F182 * G182 * 3.259373</f>
        <v>2874.7669860000001</v>
      </c>
      <c r="M182" s="23">
        <f>F182 * G182 * 2.871238</f>
        <v>2532.431916</v>
      </c>
      <c r="N182" s="29">
        <f>SUM(H182:M182)</f>
        <v>30123.736271999911</v>
      </c>
      <c r="O182" s="33">
        <v>6.2643459586254904E-2</v>
      </c>
    </row>
    <row r="183" spans="2:15" ht="51">
      <c r="B183" s="18">
        <v>103</v>
      </c>
      <c r="C183" s="19" t="s">
        <v>450</v>
      </c>
      <c r="D183" s="20" t="s">
        <v>451</v>
      </c>
      <c r="E183" s="20" t="s">
        <v>442</v>
      </c>
      <c r="F183" s="21">
        <v>3</v>
      </c>
      <c r="G183" s="22">
        <v>1</v>
      </c>
      <c r="H183" s="23">
        <f>F183 * G183 * 53.111289</f>
        <v>159.333867</v>
      </c>
      <c r="I183" s="23">
        <f>F183 * G183 * 0</f>
        <v>0</v>
      </c>
      <c r="J183" s="23">
        <f>F183 * G183 * 0</f>
        <v>0</v>
      </c>
      <c r="K183" s="23">
        <f>F183 * G183 * 50.5619469999999</f>
        <v>151.6858409999997</v>
      </c>
      <c r="L183" s="23">
        <f>F183 * G183 * 12.058174</f>
        <v>36.174521999999996</v>
      </c>
      <c r="M183" s="23">
        <f>F183 * G183 * 10.622258</f>
        <v>31.866773999999999</v>
      </c>
      <c r="N183" s="29">
        <f>SUM(H183:M183)</f>
        <v>379.06100399999974</v>
      </c>
      <c r="O183" s="33">
        <v>7.8827182891223464E-4</v>
      </c>
    </row>
    <row r="184" spans="2:15" s="15" customFormat="1" ht="12.75">
      <c r="B184" s="16"/>
      <c r="C184" s="17" t="s">
        <v>452</v>
      </c>
      <c r="D184" s="51" t="s">
        <v>453</v>
      </c>
      <c r="E184" s="51"/>
      <c r="F184" s="51"/>
      <c r="G184" s="51"/>
      <c r="H184" s="51"/>
      <c r="I184" s="51"/>
      <c r="J184" s="51"/>
      <c r="K184" s="51"/>
      <c r="L184" s="51"/>
      <c r="M184" s="51"/>
      <c r="N184" s="52"/>
      <c r="O184" s="35"/>
    </row>
    <row r="185" spans="2:15" ht="38.25">
      <c r="B185" s="18">
        <v>104</v>
      </c>
      <c r="C185" s="19" t="s">
        <v>454</v>
      </c>
      <c r="D185" s="20" t="s">
        <v>455</v>
      </c>
      <c r="E185" s="20" t="s">
        <v>456</v>
      </c>
      <c r="F185" s="21">
        <v>21</v>
      </c>
      <c r="G185" s="22">
        <v>0.2</v>
      </c>
      <c r="H185" s="23">
        <f>F185 * G185 * 174.882784</f>
        <v>734.50769279999997</v>
      </c>
      <c r="I185" s="23">
        <f t="shared" ref="I185:I191" si="7">F185 * G185 * 0</f>
        <v>0</v>
      </c>
      <c r="J185" s="23">
        <f t="shared" ref="J185:J191" si="8">F185 * G185 * 0</f>
        <v>0</v>
      </c>
      <c r="K185" s="23">
        <f>F185 * G185 * 166.488411</f>
        <v>699.25132620000011</v>
      </c>
      <c r="L185" s="23">
        <f>F185 * G185 * 39.704688</f>
        <v>166.7596896</v>
      </c>
      <c r="M185" s="23">
        <f>F185 * G185 * 34.976557</f>
        <v>146.90153940000002</v>
      </c>
      <c r="N185" s="29">
        <f t="shared" ref="N185:N191" si="9">SUM(H185:M185)</f>
        <v>1747.4202480000001</v>
      </c>
      <c r="O185" s="33">
        <v>3.6338271155141873E-3</v>
      </c>
    </row>
    <row r="186" spans="2:15" ht="38.25">
      <c r="B186" s="18">
        <v>105</v>
      </c>
      <c r="C186" s="19" t="s">
        <v>457</v>
      </c>
      <c r="D186" s="20" t="s">
        <v>458</v>
      </c>
      <c r="E186" s="20" t="s">
        <v>459</v>
      </c>
      <c r="F186" s="21">
        <v>18.899999999999999</v>
      </c>
      <c r="G186" s="22">
        <v>0.2</v>
      </c>
      <c r="H186" s="23">
        <f>F186 * G186 * 49.550122</f>
        <v>187.29946115999999</v>
      </c>
      <c r="I186" s="23">
        <f t="shared" si="7"/>
        <v>0</v>
      </c>
      <c r="J186" s="23">
        <f t="shared" si="8"/>
        <v>0</v>
      </c>
      <c r="K186" s="23">
        <f>F186 * G186 * 47.171716</f>
        <v>178.30908647999999</v>
      </c>
      <c r="L186" s="23">
        <f>F186 * G186 * 11.249661</f>
        <v>42.523718579999993</v>
      </c>
      <c r="M186" s="23">
        <f>F186 * G186 * 9.910024</f>
        <v>37.459890719999997</v>
      </c>
      <c r="N186" s="29">
        <f t="shared" si="9"/>
        <v>445.59215693999994</v>
      </c>
      <c r="O186" s="33">
        <v>9.2662590135502701E-4</v>
      </c>
    </row>
    <row r="187" spans="2:15" ht="38.25">
      <c r="B187" s="18">
        <v>106</v>
      </c>
      <c r="C187" s="19" t="s">
        <v>460</v>
      </c>
      <c r="D187" s="20" t="s">
        <v>461</v>
      </c>
      <c r="E187" s="20" t="s">
        <v>459</v>
      </c>
      <c r="F187" s="21">
        <v>18.899999999999999</v>
      </c>
      <c r="G187" s="22">
        <v>0.2</v>
      </c>
      <c r="H187" s="23">
        <f>F187 * G187 * 102.014958</f>
        <v>385.61654123999995</v>
      </c>
      <c r="I187" s="23">
        <f t="shared" si="7"/>
        <v>0</v>
      </c>
      <c r="J187" s="23">
        <f t="shared" si="8"/>
        <v>0</v>
      </c>
      <c r="K187" s="23">
        <f>F187 * G187 * 97.11824</f>
        <v>367.10694719999998</v>
      </c>
      <c r="L187" s="23">
        <f>F187 * G187 * 23.161068</f>
        <v>87.548837039999995</v>
      </c>
      <c r="M187" s="23">
        <f>F187 * G187 * 20.402992</f>
        <v>77.123309759999998</v>
      </c>
      <c r="N187" s="29">
        <f t="shared" si="9"/>
        <v>917.39563523999993</v>
      </c>
      <c r="O187" s="33">
        <v>1.9077592461258202E-3</v>
      </c>
    </row>
    <row r="188" spans="2:15">
      <c r="B188" s="18">
        <v>107</v>
      </c>
      <c r="C188" s="19" t="s">
        <v>462</v>
      </c>
      <c r="D188" s="20" t="s">
        <v>463</v>
      </c>
      <c r="E188" s="20" t="s">
        <v>464</v>
      </c>
      <c r="F188" s="21">
        <v>27</v>
      </c>
      <c r="G188" s="22">
        <v>0.2</v>
      </c>
      <c r="H188" s="23">
        <f>F188 * G188 * 11.658852</f>
        <v>62.957800800000001</v>
      </c>
      <c r="I188" s="23">
        <f t="shared" si="7"/>
        <v>0</v>
      </c>
      <c r="J188" s="23">
        <f t="shared" si="8"/>
        <v>0</v>
      </c>
      <c r="K188" s="23">
        <f>F188 * G188 * 11.099227</f>
        <v>59.935825800000011</v>
      </c>
      <c r="L188" s="23">
        <f>F188 * G188 * 2.646979</f>
        <v>14.293686600000001</v>
      </c>
      <c r="M188" s="23">
        <f>F188 * G188 * 2.33177</f>
        <v>12.591558000000001</v>
      </c>
      <c r="N188" s="29">
        <f t="shared" si="9"/>
        <v>149.7788712</v>
      </c>
      <c r="O188" s="33">
        <v>3.1147088064282683E-4</v>
      </c>
    </row>
    <row r="189" spans="2:15" ht="25.5">
      <c r="B189" s="18">
        <v>108</v>
      </c>
      <c r="C189" s="19" t="s">
        <v>465</v>
      </c>
      <c r="D189" s="20" t="s">
        <v>466</v>
      </c>
      <c r="E189" s="20" t="s">
        <v>467</v>
      </c>
      <c r="F189" s="21">
        <v>740</v>
      </c>
      <c r="G189" s="22">
        <v>0.2</v>
      </c>
      <c r="H189" s="23">
        <f>F189 * G189 * 61.208975</f>
        <v>9058.9282999999996</v>
      </c>
      <c r="I189" s="23">
        <f t="shared" si="7"/>
        <v>0</v>
      </c>
      <c r="J189" s="23">
        <f t="shared" si="8"/>
        <v>0</v>
      </c>
      <c r="K189" s="23">
        <f>F189 * G189 * 58.270944</f>
        <v>8624.0997119999993</v>
      </c>
      <c r="L189" s="23">
        <f>F189 * G189 * 13.896641</f>
        <v>2056.7028680000003</v>
      </c>
      <c r="M189" s="23">
        <f>F189 * G189 * 12.241795</f>
        <v>1811.78566</v>
      </c>
      <c r="N189" s="29">
        <f t="shared" si="9"/>
        <v>21551.516540000001</v>
      </c>
      <c r="O189" s="33">
        <v>4.4817201399113292E-2</v>
      </c>
    </row>
    <row r="190" spans="2:15" ht="38.25">
      <c r="B190" s="18">
        <v>109</v>
      </c>
      <c r="C190" s="19" t="s">
        <v>468</v>
      </c>
      <c r="D190" s="20" t="s">
        <v>469</v>
      </c>
      <c r="E190" s="20" t="s">
        <v>470</v>
      </c>
      <c r="F190" s="21">
        <v>7.0000000000000001E-3</v>
      </c>
      <c r="G190" s="22">
        <v>0.2</v>
      </c>
      <c r="H190" s="23">
        <f>F190 * G190 * 1407.806414</f>
        <v>1.9709289796000002</v>
      </c>
      <c r="I190" s="23">
        <f t="shared" si="7"/>
        <v>0</v>
      </c>
      <c r="J190" s="23">
        <f t="shared" si="8"/>
        <v>0</v>
      </c>
      <c r="K190" s="23">
        <f>F190 * G190 * 1340.231706</f>
        <v>1.8763243884000003</v>
      </c>
      <c r="L190" s="23">
        <f>F190 * G190 * 319.622737</f>
        <v>0.44747183180000005</v>
      </c>
      <c r="M190" s="23">
        <f>F190 * G190 * 281.561283</f>
        <v>0.39418579620000005</v>
      </c>
      <c r="N190" s="29">
        <f t="shared" si="9"/>
        <v>4.6889109960000006</v>
      </c>
      <c r="O190" s="33">
        <v>9.7507694208070288E-6</v>
      </c>
    </row>
    <row r="191" spans="2:15">
      <c r="B191" s="18">
        <v>110</v>
      </c>
      <c r="C191" s="19" t="s">
        <v>471</v>
      </c>
      <c r="D191" s="20" t="s">
        <v>472</v>
      </c>
      <c r="E191" s="20" t="s">
        <v>473</v>
      </c>
      <c r="F191" s="21">
        <v>396</v>
      </c>
      <c r="G191" s="22">
        <v>1</v>
      </c>
      <c r="H191" s="23">
        <f>F191 * G191 * 19.531696</f>
        <v>7734.5516159999997</v>
      </c>
      <c r="I191" s="23">
        <f t="shared" si="7"/>
        <v>0</v>
      </c>
      <c r="J191" s="23">
        <f t="shared" si="8"/>
        <v>0</v>
      </c>
      <c r="K191" s="23">
        <f>F191 * G191 * 18.594174</f>
        <v>7363.2929039999999</v>
      </c>
      <c r="L191" s="23">
        <f>F191 * G191 * 4.434398</f>
        <v>1756.021608</v>
      </c>
      <c r="M191" s="23">
        <f>F191 * G191 * 3.906339</f>
        <v>1546.9102439999999</v>
      </c>
      <c r="N191" s="29">
        <f t="shared" si="9"/>
        <v>18400.776371999997</v>
      </c>
      <c r="O191" s="33">
        <v>3.8265116936590717E-2</v>
      </c>
    </row>
    <row r="192" spans="2:15" s="12" customFormat="1" ht="15">
      <c r="B192" s="13"/>
      <c r="C192" s="14" t="s">
        <v>474</v>
      </c>
      <c r="D192" s="47" t="s">
        <v>475</v>
      </c>
      <c r="E192" s="47"/>
      <c r="F192" s="47"/>
      <c r="G192" s="47"/>
      <c r="H192" s="47"/>
      <c r="I192" s="47"/>
      <c r="J192" s="47"/>
      <c r="K192" s="47"/>
      <c r="L192" s="47"/>
      <c r="M192" s="47"/>
      <c r="N192" s="48"/>
      <c r="O192" s="34"/>
    </row>
    <row r="193" spans="2:15" s="15" customFormat="1" ht="12.75">
      <c r="B193" s="16"/>
      <c r="C193" s="17" t="s">
        <v>476</v>
      </c>
      <c r="D193" s="49" t="s">
        <v>477</v>
      </c>
      <c r="E193" s="49"/>
      <c r="F193" s="49"/>
      <c r="G193" s="49"/>
      <c r="H193" s="49"/>
      <c r="I193" s="49"/>
      <c r="J193" s="49"/>
      <c r="K193" s="49"/>
      <c r="L193" s="49"/>
      <c r="M193" s="49"/>
      <c r="N193" s="50"/>
      <c r="O193" s="32"/>
    </row>
    <row r="194" spans="2:15" ht="25.5">
      <c r="B194" s="18">
        <v>111</v>
      </c>
      <c r="C194" s="19" t="s">
        <v>478</v>
      </c>
      <c r="D194" s="20" t="s">
        <v>479</v>
      </c>
      <c r="E194" s="20" t="s">
        <v>480</v>
      </c>
      <c r="F194" s="21">
        <v>7</v>
      </c>
      <c r="G194" s="22">
        <v>1</v>
      </c>
      <c r="H194" s="23">
        <f>F194 * G194 * 98.639032</f>
        <v>690.47322399999996</v>
      </c>
      <c r="I194" s="23">
        <f>F194 * G194 * 322.33728</f>
        <v>2256.36096</v>
      </c>
      <c r="J194" s="23">
        <f>F194 * G194 * 0</f>
        <v>0</v>
      </c>
      <c r="K194" s="23">
        <f>F194 * G194 * 93.904359</f>
        <v>657.330513</v>
      </c>
      <c r="L194" s="23">
        <f>F194 * G194 * 56.401194</f>
        <v>394.808358</v>
      </c>
      <c r="M194" s="23">
        <f>F194 * G194 * 19.727806</f>
        <v>138.09464200000002</v>
      </c>
      <c r="N194" s="29">
        <f>SUM(H194:M194)</f>
        <v>4137.0676969999995</v>
      </c>
      <c r="O194" s="33">
        <v>8.6031902132774341E-3</v>
      </c>
    </row>
    <row r="195" spans="2:15">
      <c r="B195" s="18">
        <v>112</v>
      </c>
      <c r="C195" s="19" t="s">
        <v>481</v>
      </c>
      <c r="D195" s="20" t="s">
        <v>482</v>
      </c>
      <c r="E195" s="20" t="s">
        <v>483</v>
      </c>
      <c r="F195" s="21">
        <v>7</v>
      </c>
      <c r="G195" s="22">
        <v>12</v>
      </c>
      <c r="H195" s="23">
        <f>F195 * G195 * 17.934369</f>
        <v>1506.4869960000001</v>
      </c>
      <c r="I195" s="23">
        <f>F195 * G195 * 2572.918368</f>
        <v>216125.14291200001</v>
      </c>
      <c r="J195" s="23">
        <f>F195 * G195 * 0</f>
        <v>0</v>
      </c>
      <c r="K195" s="23">
        <f>F195 * G195 * 17.0735189999999</f>
        <v>1434.1755959999916</v>
      </c>
      <c r="L195" s="23">
        <f>F195 * G195 * 275.514636</f>
        <v>23143.229424000001</v>
      </c>
      <c r="M195" s="23">
        <f>F195 * G195 * 3.586874</f>
        <v>301.297416</v>
      </c>
      <c r="N195" s="29">
        <f>SUM(H195:M195)</f>
        <v>242510.33234399997</v>
      </c>
      <c r="O195" s="33">
        <v>0.50430949422304294</v>
      </c>
    </row>
    <row r="196" spans="2:15">
      <c r="B196" s="18">
        <v>113</v>
      </c>
      <c r="C196" s="19" t="s">
        <v>484</v>
      </c>
      <c r="D196" s="20" t="s">
        <v>485</v>
      </c>
      <c r="E196" s="20" t="s">
        <v>486</v>
      </c>
      <c r="F196" s="21">
        <v>7</v>
      </c>
      <c r="G196" s="22">
        <v>1</v>
      </c>
      <c r="H196" s="23">
        <f>F196 * G196 * 237.630395</f>
        <v>1663.412765</v>
      </c>
      <c r="I196" s="23">
        <f>F196 * G196 * 91.435612</f>
        <v>640.04928400000006</v>
      </c>
      <c r="J196" s="23">
        <f>F196 * G196 * 0</f>
        <v>0</v>
      </c>
      <c r="K196" s="23">
        <f>F196 * G196 * 226.224136</f>
        <v>1583.5689519999999</v>
      </c>
      <c r="L196" s="23">
        <f>F196 * G196 * 63.597111</f>
        <v>445.179777</v>
      </c>
      <c r="M196" s="23">
        <f>F196 * G196 * 47.526079</f>
        <v>332.68255300000004</v>
      </c>
      <c r="N196" s="29">
        <f>SUM(H196:M196)</f>
        <v>4664.8933310000002</v>
      </c>
      <c r="O196" s="33">
        <v>9.7008237695372611E-3</v>
      </c>
    </row>
    <row r="197" spans="2:15">
      <c r="B197" s="18">
        <v>114</v>
      </c>
      <c r="C197" s="19" t="s">
        <v>487</v>
      </c>
      <c r="D197" s="20" t="s">
        <v>488</v>
      </c>
      <c r="E197" s="20" t="s">
        <v>489</v>
      </c>
      <c r="F197" s="21">
        <v>7.0000000000000007E-2</v>
      </c>
      <c r="G197" s="22">
        <v>1</v>
      </c>
      <c r="H197" s="23">
        <f>F197 * G197 * 44835.92352</f>
        <v>3138.5146463999999</v>
      </c>
      <c r="I197" s="23">
        <f>F197 * G197 * 118998.613755</f>
        <v>8329.9029628500011</v>
      </c>
      <c r="J197" s="23">
        <f>F197 * G197 * 0</f>
        <v>0</v>
      </c>
      <c r="K197" s="23">
        <f>F197 * G197 * 42683.799191</f>
        <v>2987.86594337</v>
      </c>
      <c r="L197" s="23">
        <f>F197 * G197 * 22733.722484</f>
        <v>1591.3605738800002</v>
      </c>
      <c r="M197" s="23">
        <f>F197 * G197 * 8967.184704</f>
        <v>627.70292928000003</v>
      </c>
      <c r="N197" s="29">
        <f>SUM(H197:M197)</f>
        <v>16675.347055780003</v>
      </c>
      <c r="O197" s="33">
        <v>3.467702080324242E-2</v>
      </c>
    </row>
    <row r="198" spans="2:15" s="15" customFormat="1" ht="12.75">
      <c r="B198" s="16"/>
      <c r="C198" s="17" t="s">
        <v>490</v>
      </c>
      <c r="D198" s="49" t="s">
        <v>491</v>
      </c>
      <c r="E198" s="49"/>
      <c r="F198" s="49"/>
      <c r="G198" s="49"/>
      <c r="H198" s="49"/>
      <c r="I198" s="49"/>
      <c r="J198" s="49"/>
      <c r="K198" s="49"/>
      <c r="L198" s="49"/>
      <c r="M198" s="49"/>
      <c r="N198" s="50"/>
      <c r="O198" s="32"/>
    </row>
    <row r="199" spans="2:15">
      <c r="B199" s="18">
        <v>115</v>
      </c>
      <c r="C199" s="19" t="s">
        <v>492</v>
      </c>
      <c r="D199" s="20" t="s">
        <v>493</v>
      </c>
      <c r="E199" s="20" t="s">
        <v>494</v>
      </c>
      <c r="F199" s="21">
        <v>189</v>
      </c>
      <c r="G199" s="22">
        <v>1</v>
      </c>
      <c r="H199" s="23">
        <f>F199 * G199 * 306.02219</f>
        <v>57838.193910000002</v>
      </c>
      <c r="I199" s="23">
        <f>F199 * G199 * 32.878418</f>
        <v>6214.0210020000004</v>
      </c>
      <c r="J199" s="23">
        <f>F199 * G199 * 0</f>
        <v>0</v>
      </c>
      <c r="K199" s="23">
        <f>F199 * G199 * 291.333125</f>
        <v>55061.960625</v>
      </c>
      <c r="L199" s="23">
        <f>F199 * G199 * 72.946727</f>
        <v>13786.931402999999</v>
      </c>
      <c r="M199" s="23">
        <f>F199 * G199 * 61.204438</f>
        <v>11567.638782</v>
      </c>
      <c r="N199" s="29">
        <f>SUM(H199:M199)</f>
        <v>144468.74572199999</v>
      </c>
      <c r="O199" s="33">
        <v>0.30042827199111621</v>
      </c>
    </row>
    <row r="200" spans="2:15" s="15" customFormat="1" ht="12.75">
      <c r="B200" s="16"/>
      <c r="C200" s="17" t="s">
        <v>495</v>
      </c>
      <c r="D200" s="49" t="s">
        <v>496</v>
      </c>
      <c r="E200" s="49"/>
      <c r="F200" s="49"/>
      <c r="G200" s="49"/>
      <c r="H200" s="49"/>
      <c r="I200" s="49"/>
      <c r="J200" s="49"/>
      <c r="K200" s="49"/>
      <c r="L200" s="49"/>
      <c r="M200" s="49"/>
      <c r="N200" s="50"/>
      <c r="O200" s="32"/>
    </row>
    <row r="201" spans="2:15" ht="38.25">
      <c r="B201" s="18">
        <v>116</v>
      </c>
      <c r="C201" s="19" t="s">
        <v>497</v>
      </c>
      <c r="D201" s="20" t="s">
        <v>498</v>
      </c>
      <c r="E201" s="20" t="s">
        <v>499</v>
      </c>
      <c r="F201" s="21">
        <v>21</v>
      </c>
      <c r="G201" s="22">
        <v>0.1</v>
      </c>
      <c r="H201" s="23">
        <f>F201 * G201 * 132.265974</f>
        <v>277.7585454</v>
      </c>
      <c r="I201" s="23">
        <f>F201 * G201 * 7754.59392</f>
        <v>16284.647232000001</v>
      </c>
      <c r="J201" s="23">
        <f>F201 * G201 * 0</f>
        <v>0</v>
      </c>
      <c r="K201" s="23">
        <f>F201 * G201 * 125.917206999999</f>
        <v>264.42613469999787</v>
      </c>
      <c r="L201" s="23">
        <f>F201 * G201 * 848.138796</f>
        <v>1781.0914716</v>
      </c>
      <c r="M201" s="23">
        <f>F201 * G201 * 26.453195</f>
        <v>55.551709500000001</v>
      </c>
      <c r="N201" s="29">
        <f>SUM(H201:M201)</f>
        <v>18663.475093200002</v>
      </c>
      <c r="O201" s="33">
        <v>3.8811408956155022E-2</v>
      </c>
    </row>
    <row r="202" spans="2:15">
      <c r="B202" s="18">
        <v>117</v>
      </c>
      <c r="C202" s="19" t="s">
        <v>500</v>
      </c>
      <c r="D202" s="20" t="s">
        <v>501</v>
      </c>
      <c r="E202" s="20" t="s">
        <v>502</v>
      </c>
      <c r="F202" s="21">
        <v>2.1000000000000001E-2</v>
      </c>
      <c r="G202" s="22">
        <v>2</v>
      </c>
      <c r="H202" s="23">
        <f>F202 * G202 * 2690.155411</f>
        <v>112.98652726200001</v>
      </c>
      <c r="I202" s="23">
        <f>F202 * G202 * 0</f>
        <v>0</v>
      </c>
      <c r="J202" s="23">
        <f>F202 * G202 * 0</f>
        <v>0</v>
      </c>
      <c r="K202" s="23">
        <f>F202 * G202 * 2561.027951</f>
        <v>107.56317394200001</v>
      </c>
      <c r="L202" s="23">
        <f>F202 * G202 * 610.762124</f>
        <v>25.652009207999999</v>
      </c>
      <c r="M202" s="23">
        <f>F202 * G202 * 538.031082</f>
        <v>22.597305444</v>
      </c>
      <c r="N202" s="29">
        <f>SUM(H202:M202)</f>
        <v>268.79901585600004</v>
      </c>
      <c r="O202" s="33">
        <v>5.5897781518728323E-4</v>
      </c>
    </row>
    <row r="203" spans="2:15" s="15" customFormat="1" ht="12.75">
      <c r="B203" s="16"/>
      <c r="C203" s="17" t="s">
        <v>503</v>
      </c>
      <c r="D203" s="49" t="s">
        <v>504</v>
      </c>
      <c r="E203" s="49"/>
      <c r="F203" s="49"/>
      <c r="G203" s="49"/>
      <c r="H203" s="49"/>
      <c r="I203" s="49"/>
      <c r="J203" s="49"/>
      <c r="K203" s="49"/>
      <c r="L203" s="49"/>
      <c r="M203" s="49"/>
      <c r="N203" s="50"/>
      <c r="O203" s="32"/>
    </row>
    <row r="204" spans="2:15">
      <c r="B204" s="18">
        <v>118</v>
      </c>
      <c r="C204" s="19" t="s">
        <v>505</v>
      </c>
      <c r="D204" s="20" t="s">
        <v>506</v>
      </c>
      <c r="E204" s="20" t="s">
        <v>507</v>
      </c>
      <c r="F204" s="21">
        <v>7</v>
      </c>
      <c r="G204" s="22">
        <v>1</v>
      </c>
      <c r="H204" s="23">
        <f>F204 * G204 * 42.594127</f>
        <v>298.15888899999999</v>
      </c>
      <c r="I204" s="23">
        <f>F204 * G204 * 74.644272</f>
        <v>522.50990400000001</v>
      </c>
      <c r="J204" s="23">
        <f>F204 * G204 * 0</f>
        <v>0</v>
      </c>
      <c r="K204" s="23">
        <f>F204 * G204 * 40.549609</f>
        <v>283.847263</v>
      </c>
      <c r="L204" s="23">
        <f>F204 * G204 * 17.545371</f>
        <v>122.81759699999999</v>
      </c>
      <c r="M204" s="23">
        <f>F204 * G204 * 8.518825</f>
        <v>59.631774999999998</v>
      </c>
      <c r="N204" s="29">
        <f>SUM(H204:M204)</f>
        <v>1286.965428</v>
      </c>
      <c r="O204" s="33">
        <v>2.6762937389264592E-3</v>
      </c>
    </row>
    <row r="205" spans="2:15" ht="25.5">
      <c r="B205" s="18">
        <v>119</v>
      </c>
      <c r="C205" s="19" t="s">
        <v>508</v>
      </c>
      <c r="D205" s="20" t="s">
        <v>509</v>
      </c>
      <c r="E205" s="20" t="s">
        <v>510</v>
      </c>
      <c r="F205" s="21">
        <v>21</v>
      </c>
      <c r="G205" s="22">
        <v>1</v>
      </c>
      <c r="H205" s="23">
        <f>F205 * G205 * 225.343613</f>
        <v>4732.2158730000001</v>
      </c>
      <c r="I205" s="23">
        <f>F205 * G205 * 597.694511</f>
        <v>12551.584731000001</v>
      </c>
      <c r="J205" s="23">
        <f>F205 * G205 * 0</f>
        <v>0</v>
      </c>
      <c r="K205" s="23">
        <f>F205 * G205 * 214.527118999999</f>
        <v>4505.0694989999793</v>
      </c>
      <c r="L205" s="23">
        <f>F205 * G205 * 114.217884</f>
        <v>2398.5755639999998</v>
      </c>
      <c r="M205" s="23">
        <f>F205 * G205 * 45.068723</f>
        <v>946.44318299999998</v>
      </c>
      <c r="N205" s="29">
        <f>SUM(H205:M205)</f>
        <v>25133.888849999978</v>
      </c>
      <c r="O205" s="33">
        <v>5.2266881378983304E-2</v>
      </c>
    </row>
    <row r="206" spans="2:15">
      <c r="B206" s="18">
        <v>120</v>
      </c>
      <c r="C206" s="19" t="s">
        <v>511</v>
      </c>
      <c r="D206" s="20" t="s">
        <v>512</v>
      </c>
      <c r="E206" s="20" t="s">
        <v>39</v>
      </c>
      <c r="F206" s="21">
        <v>0.35</v>
      </c>
      <c r="G206" s="22">
        <v>0.2</v>
      </c>
      <c r="H206" s="23">
        <f>F206 * G206 * 5748.940747</f>
        <v>402.42585228999991</v>
      </c>
      <c r="I206" s="23">
        <f>F206 * G206 * 2228.88288</f>
        <v>156.0218016</v>
      </c>
      <c r="J206" s="23">
        <f>F206 * G206 * 0</f>
        <v>0</v>
      </c>
      <c r="K206" s="23">
        <f>F206 * G206 * 5472.991592</f>
        <v>383.10941143999997</v>
      </c>
      <c r="L206" s="23">
        <f>F206 * G206 * 1540.363655</f>
        <v>107.82545585</v>
      </c>
      <c r="M206" s="23">
        <f>F206 * G206 * 1149.788149</f>
        <v>80.485170429999997</v>
      </c>
      <c r="N206" s="29">
        <f>SUM(H206:M206)</f>
        <v>1129.8676916099998</v>
      </c>
      <c r="O206" s="33">
        <v>2.3496029987148449E-3</v>
      </c>
    </row>
    <row r="207" spans="2:15" s="12" customFormat="1" ht="15">
      <c r="B207" s="13"/>
      <c r="C207" s="14" t="s">
        <v>513</v>
      </c>
      <c r="D207" s="47" t="s">
        <v>514</v>
      </c>
      <c r="E207" s="47"/>
      <c r="F207" s="47"/>
      <c r="G207" s="47"/>
      <c r="H207" s="47"/>
      <c r="I207" s="47"/>
      <c r="J207" s="47"/>
      <c r="K207" s="47"/>
      <c r="L207" s="47"/>
      <c r="M207" s="47"/>
      <c r="N207" s="48"/>
      <c r="O207" s="34"/>
    </row>
    <row r="208" spans="2:15" s="15" customFormat="1" ht="12.75">
      <c r="B208" s="16"/>
      <c r="C208" s="17" t="s">
        <v>515</v>
      </c>
      <c r="D208" s="49" t="s">
        <v>516</v>
      </c>
      <c r="E208" s="49"/>
      <c r="F208" s="49"/>
      <c r="G208" s="49"/>
      <c r="H208" s="49"/>
      <c r="I208" s="49"/>
      <c r="J208" s="49"/>
      <c r="K208" s="49"/>
      <c r="L208" s="49"/>
      <c r="M208" s="49"/>
      <c r="N208" s="50"/>
      <c r="O208" s="32"/>
    </row>
    <row r="209" spans="2:15">
      <c r="B209" s="18">
        <v>121</v>
      </c>
      <c r="C209" s="19" t="s">
        <v>517</v>
      </c>
      <c r="D209" s="20" t="s">
        <v>518</v>
      </c>
      <c r="E209" s="20" t="s">
        <v>519</v>
      </c>
      <c r="F209" s="21">
        <v>1.4</v>
      </c>
      <c r="G209" s="22">
        <v>1</v>
      </c>
      <c r="H209" s="23">
        <f>F209 * G209 * 4936.582616</f>
        <v>6911.215662399999</v>
      </c>
      <c r="I209" s="23">
        <f>F209 * G209 * 14336.414138</f>
        <v>20070.9797932</v>
      </c>
      <c r="J209" s="23">
        <f>F209 * G209 * 0</f>
        <v>0</v>
      </c>
      <c r="K209" s="23">
        <f>F209 * G209 * 4699.62665</f>
        <v>6579.4773100000002</v>
      </c>
      <c r="L209" s="23">
        <f>F209 * G209 * 2633.273663</f>
        <v>3686.5831281999995</v>
      </c>
      <c r="M209" s="23">
        <f>F209 * G209 * 987.316523</f>
        <v>1382.2431321999998</v>
      </c>
      <c r="N209" s="29">
        <f>SUM(H209:M209)</f>
        <v>38630.499025999998</v>
      </c>
      <c r="O209" s="33">
        <v>8.03335974887497E-2</v>
      </c>
    </row>
    <row r="210" spans="2:15" s="15" customFormat="1" ht="12.75">
      <c r="B210" s="16"/>
      <c r="C210" s="17" t="s">
        <v>520</v>
      </c>
      <c r="D210" s="49" t="s">
        <v>521</v>
      </c>
      <c r="E210" s="49"/>
      <c r="F210" s="49"/>
      <c r="G210" s="49"/>
      <c r="H210" s="49"/>
      <c r="I210" s="49"/>
      <c r="J210" s="49"/>
      <c r="K210" s="49"/>
      <c r="L210" s="49"/>
      <c r="M210" s="49"/>
      <c r="N210" s="50"/>
      <c r="O210" s="32"/>
    </row>
    <row r="211" spans="2:15" ht="25.5">
      <c r="B211" s="18">
        <v>122</v>
      </c>
      <c r="C211" s="19" t="s">
        <v>522</v>
      </c>
      <c r="D211" s="20" t="s">
        <v>523</v>
      </c>
      <c r="E211" s="20" t="s">
        <v>524</v>
      </c>
      <c r="F211" s="21">
        <v>7.4</v>
      </c>
      <c r="G211" s="22">
        <v>2</v>
      </c>
      <c r="H211" s="23">
        <f>F211 * G211 * 15174.654048</f>
        <v>224584.87991040002</v>
      </c>
      <c r="I211" s="23">
        <f>F211 * G211 * 0</f>
        <v>0</v>
      </c>
      <c r="J211" s="23">
        <f>F211 * G211 * 0</f>
        <v>0</v>
      </c>
      <c r="K211" s="23">
        <f>F211 * G211 * 14446.270653</f>
        <v>213804.80566440002</v>
      </c>
      <c r="L211" s="23">
        <f>F211 * G211 * 3445.192757</f>
        <v>50988.852803599999</v>
      </c>
      <c r="M211" s="23">
        <f>F211 * G211 * 3034.93081</f>
        <v>44916.975987999998</v>
      </c>
      <c r="N211" s="29">
        <f>SUM(H211:M211)</f>
        <v>534295.51436640008</v>
      </c>
      <c r="O211" s="33">
        <v>1.1110879194769547</v>
      </c>
    </row>
    <row r="212" spans="2:15" ht="25.5">
      <c r="B212" s="18">
        <v>123</v>
      </c>
      <c r="C212" s="19" t="s">
        <v>525</v>
      </c>
      <c r="D212" s="20" t="s">
        <v>526</v>
      </c>
      <c r="E212" s="20" t="s">
        <v>527</v>
      </c>
      <c r="F212" s="21">
        <v>40.073</v>
      </c>
      <c r="G212" s="22">
        <v>2</v>
      </c>
      <c r="H212" s="23">
        <f>F212 * G212 * 941.554394</f>
        <v>75461.818461524002</v>
      </c>
      <c r="I212" s="23">
        <f>F212 * G212 * 0</f>
        <v>0</v>
      </c>
      <c r="J212" s="23">
        <f>F212 * G212 * 0</f>
        <v>0</v>
      </c>
      <c r="K212" s="23">
        <f>F212 * G212 * 896.359783</f>
        <v>71839.651168318</v>
      </c>
      <c r="L212" s="23">
        <f>F212 * G212 * 213.766743</f>
        <v>17132.549384477999</v>
      </c>
      <c r="M212" s="23">
        <f>F212 * G212 * 188.310879</f>
        <v>15092.363708334</v>
      </c>
      <c r="N212" s="29">
        <f>SUM(H212:M212)</f>
        <v>179526.38272265397</v>
      </c>
      <c r="O212" s="33">
        <v>0.37333196649999995</v>
      </c>
    </row>
    <row r="213" spans="2:15" s="15" customFormat="1" ht="12.75">
      <c r="B213" s="16"/>
      <c r="C213" s="17" t="s">
        <v>528</v>
      </c>
      <c r="D213" s="49" t="s">
        <v>529</v>
      </c>
      <c r="E213" s="49"/>
      <c r="F213" s="49"/>
      <c r="G213" s="49"/>
      <c r="H213" s="49"/>
      <c r="I213" s="49"/>
      <c r="J213" s="49"/>
      <c r="K213" s="49"/>
      <c r="L213" s="49"/>
      <c r="M213" s="49"/>
      <c r="N213" s="50"/>
      <c r="O213" s="32"/>
    </row>
    <row r="214" spans="2:15" ht="25.5">
      <c r="B214" s="18">
        <v>124</v>
      </c>
      <c r="C214" s="19" t="s">
        <v>530</v>
      </c>
      <c r="D214" s="20" t="s">
        <v>531</v>
      </c>
      <c r="E214" s="20" t="s">
        <v>527</v>
      </c>
      <c r="F214" s="21">
        <v>40.073</v>
      </c>
      <c r="G214" s="22">
        <v>3</v>
      </c>
      <c r="H214" s="23">
        <f>F214 * G214 * 941.554394</f>
        <v>113192.72769228599</v>
      </c>
      <c r="I214" s="23">
        <f>F214 * G214 * 0</f>
        <v>0</v>
      </c>
      <c r="J214" s="23">
        <f>F214 * G214 * 0</f>
        <v>0</v>
      </c>
      <c r="K214" s="23">
        <f>F214 * G214 * 896.359783</f>
        <v>107759.476752477</v>
      </c>
      <c r="L214" s="23">
        <f>F214 * G214 * 213.766743</f>
        <v>25698.824076716999</v>
      </c>
      <c r="M214" s="23">
        <f>F214 * G214 * 188.310879</f>
        <v>22638.545562501</v>
      </c>
      <c r="N214" s="29">
        <f>SUM(H214:M214)</f>
        <v>269289.57408398099</v>
      </c>
      <c r="O214" s="33">
        <v>0.55999794974999995</v>
      </c>
    </row>
    <row r="215" spans="2:15" ht="25.5">
      <c r="B215" s="18">
        <v>125</v>
      </c>
      <c r="C215" s="19" t="s">
        <v>532</v>
      </c>
      <c r="D215" s="20" t="s">
        <v>533</v>
      </c>
      <c r="E215" s="20" t="s">
        <v>527</v>
      </c>
      <c r="F215" s="21">
        <v>40.073</v>
      </c>
      <c r="G215" s="22">
        <v>3</v>
      </c>
      <c r="H215" s="23">
        <f>F215 * G215 * 941.554394</f>
        <v>113192.72769228599</v>
      </c>
      <c r="I215" s="23">
        <f>F215 * G215 * 0</f>
        <v>0</v>
      </c>
      <c r="J215" s="23">
        <f>F215 * G215 * 0</f>
        <v>0</v>
      </c>
      <c r="K215" s="23">
        <f>F215 * G215 * 896.359783</f>
        <v>107759.476752477</v>
      </c>
      <c r="L215" s="23">
        <f>F215 * G215 * 213.766743</f>
        <v>25698.824076716999</v>
      </c>
      <c r="M215" s="23">
        <f>F215 * G215 * 188.310879</f>
        <v>22638.545562501</v>
      </c>
      <c r="N215" s="29">
        <f>SUM(H215:M215)</f>
        <v>269289.57408398099</v>
      </c>
      <c r="O215" s="33">
        <v>0.55999794974999995</v>
      </c>
    </row>
    <row r="216" spans="2:15" s="15" customFormat="1" ht="12.75">
      <c r="B216" s="16"/>
      <c r="C216" s="17" t="s">
        <v>534</v>
      </c>
      <c r="D216" s="49" t="s">
        <v>535</v>
      </c>
      <c r="E216" s="49"/>
      <c r="F216" s="49"/>
      <c r="G216" s="49"/>
      <c r="H216" s="49"/>
      <c r="I216" s="49"/>
      <c r="J216" s="49"/>
      <c r="K216" s="49"/>
      <c r="L216" s="49"/>
      <c r="M216" s="49"/>
      <c r="N216" s="50"/>
      <c r="O216" s="32"/>
    </row>
    <row r="217" spans="2:15" ht="25.5">
      <c r="B217" s="18">
        <v>126</v>
      </c>
      <c r="C217" s="19" t="s">
        <v>536</v>
      </c>
      <c r="D217" s="20" t="s">
        <v>537</v>
      </c>
      <c r="E217" s="20" t="s">
        <v>538</v>
      </c>
      <c r="F217" s="21">
        <v>1.8900000000000001</v>
      </c>
      <c r="G217" s="22">
        <v>2</v>
      </c>
      <c r="H217" s="23">
        <f>F217 * G217 * 2276.198107</f>
        <v>8604.028844460001</v>
      </c>
      <c r="I217" s="23">
        <f>F217 * G217 * 0</f>
        <v>0</v>
      </c>
      <c r="J217" s="23">
        <f>F217 * G217 * 0</f>
        <v>0</v>
      </c>
      <c r="K217" s="23">
        <f>F217 * G217 * 2166.940598</f>
        <v>8191.0354604400009</v>
      </c>
      <c r="L217" s="23">
        <f>F217 * G217 * 516.778914</f>
        <v>1953.42429492</v>
      </c>
      <c r="M217" s="23">
        <f>F217 * G217 * 455.239621</f>
        <v>1720.8057673800001</v>
      </c>
      <c r="N217" s="29">
        <f>SUM(H217:M217)</f>
        <v>20469.294367200004</v>
      </c>
      <c r="O217" s="33">
        <v>4.2566679075686877E-2</v>
      </c>
    </row>
    <row r="218" spans="2:15">
      <c r="B218" s="18">
        <v>127</v>
      </c>
      <c r="C218" s="19" t="s">
        <v>539</v>
      </c>
      <c r="D218" s="20" t="s">
        <v>540</v>
      </c>
      <c r="E218" s="20" t="s">
        <v>165</v>
      </c>
      <c r="F218" s="21">
        <v>21</v>
      </c>
      <c r="G218" s="22">
        <v>2</v>
      </c>
      <c r="H218" s="23">
        <f>F218 * G218 * 1120.898088</f>
        <v>47077.719696</v>
      </c>
      <c r="I218" s="23">
        <f>F218 * G218 * 1205.827488</f>
        <v>50644.754495999994</v>
      </c>
      <c r="J218" s="23">
        <f>F218 * G218 * 0</f>
        <v>0</v>
      </c>
      <c r="K218" s="23">
        <f>F218 * G218 * 1067.09497999999</f>
        <v>44817.989159999583</v>
      </c>
      <c r="L218" s="23">
        <f>F218 * G218 * 381.699018</f>
        <v>16031.358756000001</v>
      </c>
      <c r="M218" s="23">
        <f>F218 * G218 * 224.179618</f>
        <v>9415.5439559999995</v>
      </c>
      <c r="N218" s="29">
        <f>SUM(H218:M218)</f>
        <v>167987.36606399959</v>
      </c>
      <c r="O218" s="33">
        <v>0.34933614084296072</v>
      </c>
    </row>
    <row r="219" spans="2:15">
      <c r="B219" s="18">
        <v>128</v>
      </c>
      <c r="C219" s="19" t="s">
        <v>541</v>
      </c>
      <c r="D219" s="20" t="s">
        <v>542</v>
      </c>
      <c r="E219" s="20" t="s">
        <v>165</v>
      </c>
      <c r="F219" s="21">
        <v>21</v>
      </c>
      <c r="G219" s="22">
        <v>2</v>
      </c>
      <c r="H219" s="23">
        <f>F219 * G219 * 448.359235</f>
        <v>18831.087869999999</v>
      </c>
      <c r="I219" s="23">
        <f>F219 * G219 * 0</f>
        <v>0</v>
      </c>
      <c r="J219" s="23">
        <f>F219 * G219 * 0</f>
        <v>0</v>
      </c>
      <c r="K219" s="23">
        <f>F219 * G219 * 426.837992</f>
        <v>17927.195663999999</v>
      </c>
      <c r="L219" s="23">
        <f>F219 * G219 * 101.793686999999</f>
        <v>4275.3348539999579</v>
      </c>
      <c r="M219" s="23">
        <f>F219 * G219 * 89.671847</f>
        <v>3766.2175739999998</v>
      </c>
      <c r="N219" s="29">
        <f>SUM(H219:M219)</f>
        <v>44799.835961999961</v>
      </c>
      <c r="O219" s="33">
        <v>9.3162969168766915E-2</v>
      </c>
    </row>
    <row r="220" spans="2:15">
      <c r="B220" s="18">
        <v>129</v>
      </c>
      <c r="C220" s="19" t="s">
        <v>543</v>
      </c>
      <c r="D220" s="20" t="s">
        <v>544</v>
      </c>
      <c r="E220" s="20" t="s">
        <v>545</v>
      </c>
      <c r="F220" s="21">
        <v>189</v>
      </c>
      <c r="G220" s="22">
        <v>1</v>
      </c>
      <c r="H220" s="23">
        <f>F220 * G220 * 64.070761</f>
        <v>12109.373829</v>
      </c>
      <c r="I220" s="23">
        <f>F220 * G220 * 0</f>
        <v>0</v>
      </c>
      <c r="J220" s="23">
        <f>F220 * G220 * 0</f>
        <v>0</v>
      </c>
      <c r="K220" s="23">
        <f>F220 * G220 * 60.995365</f>
        <v>11528.123985</v>
      </c>
      <c r="L220" s="23">
        <f>F220 * G220 * 14.546369</f>
        <v>2749.2637410000002</v>
      </c>
      <c r="M220" s="23">
        <f>F220 * G220 * 12.814152</f>
        <v>2421.8747279999998</v>
      </c>
      <c r="N220" s="29">
        <f>SUM(H220:M220)</f>
        <v>28808.636283</v>
      </c>
      <c r="O220" s="33">
        <v>5.9908658953659571E-2</v>
      </c>
    </row>
    <row r="221" spans="2:15" s="15" customFormat="1" ht="12.75">
      <c r="B221" s="16"/>
      <c r="C221" s="17" t="s">
        <v>546</v>
      </c>
      <c r="D221" s="49" t="s">
        <v>547</v>
      </c>
      <c r="E221" s="49"/>
      <c r="F221" s="49"/>
      <c r="G221" s="49"/>
      <c r="H221" s="49"/>
      <c r="I221" s="49"/>
      <c r="J221" s="49"/>
      <c r="K221" s="49"/>
      <c r="L221" s="49"/>
      <c r="M221" s="49"/>
      <c r="N221" s="50"/>
      <c r="O221" s="32"/>
    </row>
    <row r="222" spans="2:15" s="15" customFormat="1" ht="12.75">
      <c r="B222" s="16"/>
      <c r="C222" s="17" t="s">
        <v>548</v>
      </c>
      <c r="D222" s="51" t="s">
        <v>549</v>
      </c>
      <c r="E222" s="51"/>
      <c r="F222" s="51"/>
      <c r="G222" s="51"/>
      <c r="H222" s="51"/>
      <c r="I222" s="51"/>
      <c r="J222" s="51"/>
      <c r="K222" s="51"/>
      <c r="L222" s="51"/>
      <c r="M222" s="51"/>
      <c r="N222" s="52"/>
      <c r="O222" s="35"/>
    </row>
    <row r="223" spans="2:15" ht="25.5">
      <c r="B223" s="18">
        <v>130</v>
      </c>
      <c r="C223" s="19" t="s">
        <v>550</v>
      </c>
      <c r="D223" s="20" t="s">
        <v>551</v>
      </c>
      <c r="E223" s="20" t="s">
        <v>527</v>
      </c>
      <c r="F223" s="21">
        <v>40.073</v>
      </c>
      <c r="G223" s="22">
        <v>1</v>
      </c>
      <c r="H223" s="23">
        <f>F223 * G223 * 2529.109008</f>
        <v>101348.985277584</v>
      </c>
      <c r="I223" s="23">
        <f>F223 * G223 * 0</f>
        <v>0</v>
      </c>
      <c r="J223" s="23">
        <f>F223 * G223 * 0</f>
        <v>0</v>
      </c>
      <c r="K223" s="23">
        <f>F223 * G223 * 2407.711775</f>
        <v>96484.233959575009</v>
      </c>
      <c r="L223" s="23">
        <f>F223 * G223 * 574.198793</f>
        <v>23009.868231889002</v>
      </c>
      <c r="M223" s="23">
        <f>F223 * G223 * 505.821802</f>
        <v>20269.797071546</v>
      </c>
      <c r="N223" s="29">
        <f>SUM(H223:M223)</f>
        <v>241112.88454059401</v>
      </c>
      <c r="O223" s="33">
        <v>0.50140344816666671</v>
      </c>
    </row>
    <row r="224" spans="2:15" ht="38.25">
      <c r="B224" s="18">
        <v>131</v>
      </c>
      <c r="C224" s="19" t="s">
        <v>552</v>
      </c>
      <c r="D224" s="20" t="s">
        <v>553</v>
      </c>
      <c r="E224" s="20" t="s">
        <v>554</v>
      </c>
      <c r="F224" s="21">
        <v>14.91</v>
      </c>
      <c r="G224" s="22">
        <v>2</v>
      </c>
      <c r="H224" s="23">
        <f>F224 * G224 * 1011.643603</f>
        <v>30167.212241459998</v>
      </c>
      <c r="I224" s="23">
        <f>F224 * G224 * 0</f>
        <v>0</v>
      </c>
      <c r="J224" s="23">
        <f>F224 * G224 * 0</f>
        <v>0</v>
      </c>
      <c r="K224" s="23">
        <f>F224 * G224 * 963.08471</f>
        <v>28719.186052199999</v>
      </c>
      <c r="L224" s="23">
        <f>F224 * G224 * 229.679517</f>
        <v>6849.0431969400006</v>
      </c>
      <c r="M224" s="23">
        <f>F224 * G224 * 202.328721</f>
        <v>6033.4424602199997</v>
      </c>
      <c r="N224" s="29">
        <f>SUM(H224:M224)</f>
        <v>71768.883950819989</v>
      </c>
      <c r="O224" s="33">
        <v>0.1492461340362588</v>
      </c>
    </row>
    <row r="225" spans="2:15">
      <c r="B225" s="18">
        <v>132</v>
      </c>
      <c r="C225" s="19" t="s">
        <v>555</v>
      </c>
      <c r="D225" s="20" t="s">
        <v>556</v>
      </c>
      <c r="E225" s="20" t="s">
        <v>557</v>
      </c>
      <c r="F225" s="21">
        <v>7</v>
      </c>
      <c r="G225" s="22">
        <v>1</v>
      </c>
      <c r="H225" s="23">
        <f>F225 * G225 * 896.71847</f>
        <v>6277.0292900000004</v>
      </c>
      <c r="I225" s="23">
        <f>F225 * G225 * 0</f>
        <v>0</v>
      </c>
      <c r="J225" s="23">
        <f>F225 * G225 * 0</f>
        <v>0</v>
      </c>
      <c r="K225" s="23">
        <f>F225 * G225 * 853.675984</f>
        <v>5975.7318880000003</v>
      </c>
      <c r="L225" s="23">
        <f>F225 * G225 * 203.587375</f>
        <v>1425.111625</v>
      </c>
      <c r="M225" s="23">
        <f>F225 * G225 * 179.343694</f>
        <v>1255.4058580000001</v>
      </c>
      <c r="N225" s="29">
        <f>SUM(H225:M225)</f>
        <v>14933.278661</v>
      </c>
      <c r="O225" s="33">
        <v>3.1054323070812434E-2</v>
      </c>
    </row>
    <row r="226" spans="2:15" s="15" customFormat="1" ht="12.75">
      <c r="B226" s="16"/>
      <c r="C226" s="17" t="s">
        <v>558</v>
      </c>
      <c r="D226" s="51" t="s">
        <v>559</v>
      </c>
      <c r="E226" s="51"/>
      <c r="F226" s="51"/>
      <c r="G226" s="51"/>
      <c r="H226" s="51"/>
      <c r="I226" s="51"/>
      <c r="J226" s="51"/>
      <c r="K226" s="51"/>
      <c r="L226" s="51"/>
      <c r="M226" s="51"/>
      <c r="N226" s="52"/>
      <c r="O226" s="35"/>
    </row>
    <row r="227" spans="2:15" ht="25.5">
      <c r="B227" s="18">
        <v>133</v>
      </c>
      <c r="C227" s="19" t="s">
        <v>560</v>
      </c>
      <c r="D227" s="20" t="s">
        <v>561</v>
      </c>
      <c r="E227" s="20" t="s">
        <v>285</v>
      </c>
      <c r="F227" s="21">
        <v>25.2</v>
      </c>
      <c r="G227" s="22">
        <v>1</v>
      </c>
      <c r="H227" s="23">
        <f>F227 * G227 * 880.982422</f>
        <v>22200.757034400001</v>
      </c>
      <c r="I227" s="23">
        <f>F227 * G227 * 11.135178</f>
        <v>280.60648559999998</v>
      </c>
      <c r="J227" s="23">
        <f>F227 * G227 * 0</f>
        <v>0</v>
      </c>
      <c r="K227" s="23">
        <f>F227 * G227 * 838.695265</f>
        <v>21135.120677999999</v>
      </c>
      <c r="L227" s="23">
        <f>F227 * G227 * 201.189486999999</f>
        <v>5069.9750723999741</v>
      </c>
      <c r="M227" s="23">
        <f>F227 * G227 * 176.196484</f>
        <v>4440.1513967999999</v>
      </c>
      <c r="N227" s="29">
        <f>SUM(H227:M227)</f>
        <v>53126.610667199981</v>
      </c>
      <c r="O227" s="33">
        <v>0.1104788150525291</v>
      </c>
    </row>
    <row r="228" spans="2:15" ht="25.5">
      <c r="B228" s="18">
        <v>134</v>
      </c>
      <c r="C228" s="19" t="s">
        <v>562</v>
      </c>
      <c r="D228" s="20" t="s">
        <v>563</v>
      </c>
      <c r="E228" s="20" t="s">
        <v>285</v>
      </c>
      <c r="F228" s="21">
        <v>1.8900000000000001</v>
      </c>
      <c r="G228" s="22">
        <v>1</v>
      </c>
      <c r="H228" s="23">
        <f>F228 * G228 * 26.901554</f>
        <v>50.843937060000002</v>
      </c>
      <c r="I228" s="23">
        <f>F228 * G228 * 0</f>
        <v>0</v>
      </c>
      <c r="J228" s="23">
        <f>F228 * G228 * 0</f>
        <v>0</v>
      </c>
      <c r="K228" s="23">
        <f>F228 * G228 * 25.610279</f>
        <v>48.403427309999998</v>
      </c>
      <c r="L228" s="23">
        <f>F228 * G228 * 6.107621</f>
        <v>11.54340369</v>
      </c>
      <c r="M228" s="23">
        <f>F228 * G228 * 5.380311</f>
        <v>10.16878779</v>
      </c>
      <c r="N228" s="29">
        <f>SUM(H228:M228)</f>
        <v>120.95955585</v>
      </c>
      <c r="O228" s="33">
        <v>2.51540014161655E-4</v>
      </c>
    </row>
    <row r="229" spans="2:15" s="15" customFormat="1" ht="12.75">
      <c r="B229" s="16"/>
      <c r="C229" s="17" t="s">
        <v>564</v>
      </c>
      <c r="D229" s="51" t="s">
        <v>565</v>
      </c>
      <c r="E229" s="51"/>
      <c r="F229" s="51"/>
      <c r="G229" s="51"/>
      <c r="H229" s="51"/>
      <c r="I229" s="51"/>
      <c r="J229" s="51"/>
      <c r="K229" s="51"/>
      <c r="L229" s="51"/>
      <c r="M229" s="51"/>
      <c r="N229" s="52"/>
      <c r="O229" s="35"/>
    </row>
    <row r="230" spans="2:15" ht="25.5">
      <c r="B230" s="18">
        <v>135</v>
      </c>
      <c r="C230" s="19" t="s">
        <v>566</v>
      </c>
      <c r="D230" s="20" t="s">
        <v>567</v>
      </c>
      <c r="E230" s="20" t="s">
        <v>568</v>
      </c>
      <c r="F230" s="21">
        <v>122.92</v>
      </c>
      <c r="G230" s="22">
        <v>0.2</v>
      </c>
      <c r="H230" s="23">
        <f>F230 * G230 * 207.534376</f>
        <v>5102.0250995840006</v>
      </c>
      <c r="I230" s="23">
        <f>F230 * G230 * 2.102378</f>
        <v>51.684860752000006</v>
      </c>
      <c r="J230" s="23">
        <f>F230 * G230 * 0</f>
        <v>0</v>
      </c>
      <c r="K230" s="23">
        <f>F230 * G230 * 197.572726</f>
        <v>4857.1278959840001</v>
      </c>
      <c r="L230" s="23">
        <f>F230 * G230 * 47.3395759999999</f>
        <v>1163.7961363839977</v>
      </c>
      <c r="M230" s="23">
        <f>F230 * G230 * 41.506875</f>
        <v>1020.4050150000002</v>
      </c>
      <c r="N230" s="29">
        <f>SUM(H230:M230)</f>
        <v>12195.039007703999</v>
      </c>
      <c r="O230" s="33">
        <v>2.5360049176303245E-2</v>
      </c>
    </row>
    <row r="231" spans="2:15" s="15" customFormat="1" ht="12.75">
      <c r="B231" s="16"/>
      <c r="C231" s="17" t="s">
        <v>569</v>
      </c>
      <c r="D231" s="51" t="s">
        <v>570</v>
      </c>
      <c r="E231" s="51"/>
      <c r="F231" s="51"/>
      <c r="G231" s="51"/>
      <c r="H231" s="51"/>
      <c r="I231" s="51"/>
      <c r="J231" s="51"/>
      <c r="K231" s="51"/>
      <c r="L231" s="51"/>
      <c r="M231" s="51"/>
      <c r="N231" s="52"/>
      <c r="O231" s="35"/>
    </row>
    <row r="232" spans="2:15" s="15" customFormat="1" ht="12.75">
      <c r="B232" s="16"/>
      <c r="C232" s="17" t="s">
        <v>571</v>
      </c>
      <c r="D232" s="53" t="s">
        <v>572</v>
      </c>
      <c r="E232" s="53"/>
      <c r="F232" s="53"/>
      <c r="G232" s="53"/>
      <c r="H232" s="53"/>
      <c r="I232" s="53"/>
      <c r="J232" s="53"/>
      <c r="K232" s="53"/>
      <c r="L232" s="53"/>
      <c r="M232" s="53"/>
      <c r="N232" s="54"/>
      <c r="O232" s="36"/>
    </row>
    <row r="233" spans="2:15" ht="25.5">
      <c r="B233" s="18">
        <v>136</v>
      </c>
      <c r="C233" s="19" t="s">
        <v>573</v>
      </c>
      <c r="D233" s="20" t="s">
        <v>574</v>
      </c>
      <c r="E233" s="20" t="s">
        <v>575</v>
      </c>
      <c r="F233" s="21">
        <v>2.52</v>
      </c>
      <c r="G233" s="22">
        <v>1</v>
      </c>
      <c r="H233" s="23">
        <f>F233 * G233 * 12554.0585859999</f>
        <v>31636.227636719999</v>
      </c>
      <c r="I233" s="23">
        <f>F233 * G233 * 0</f>
        <v>0</v>
      </c>
      <c r="J233" s="23">
        <f>F233 * G233 * 0</f>
        <v>0</v>
      </c>
      <c r="K233" s="23">
        <f>F233 * G233 * 11951.463774</f>
        <v>30117.688710480001</v>
      </c>
      <c r="L233" s="23">
        <f>F233 * G233 * 2850.223245</f>
        <v>7182.5625774</v>
      </c>
      <c r="M233" s="23">
        <f>F233 * G233 * 2510.811717</f>
        <v>6327.2455268399999</v>
      </c>
      <c r="N233" s="29">
        <f>SUM(H233:M233)</f>
        <v>75263.724451439994</v>
      </c>
      <c r="O233" s="33">
        <v>0.15651378827689466</v>
      </c>
    </row>
    <row r="234" spans="2:15" ht="25.5">
      <c r="B234" s="18">
        <v>137</v>
      </c>
      <c r="C234" s="19" t="s">
        <v>576</v>
      </c>
      <c r="D234" s="20" t="s">
        <v>577</v>
      </c>
      <c r="E234" s="20" t="s">
        <v>294</v>
      </c>
      <c r="F234" s="21">
        <v>0.7</v>
      </c>
      <c r="G234" s="22">
        <v>1</v>
      </c>
      <c r="H234" s="23">
        <f>F234 * G234 * 4259.412734</f>
        <v>2981.5889137999993</v>
      </c>
      <c r="I234" s="23">
        <f>F234 * G234 * 0</f>
        <v>0</v>
      </c>
      <c r="J234" s="23">
        <f>F234 * G234 * 0</f>
        <v>0</v>
      </c>
      <c r="K234" s="23">
        <f>F234 * G234 * 4054.960923</f>
        <v>2838.4726461</v>
      </c>
      <c r="L234" s="23">
        <f>F234 * G234 * 967.040029</f>
        <v>676.92802029999996</v>
      </c>
      <c r="M234" s="23">
        <f>F234 * G234 * 851.882547</f>
        <v>596.3177829</v>
      </c>
      <c r="N234" s="29">
        <f>SUM(H234:M234)</f>
        <v>7093.3073630999988</v>
      </c>
      <c r="O234" s="33">
        <v>1.4750803456816307E-2</v>
      </c>
    </row>
    <row r="235" spans="2:15" s="15" customFormat="1" ht="12.75">
      <c r="B235" s="16"/>
      <c r="C235" s="17" t="s">
        <v>578</v>
      </c>
      <c r="D235" s="53" t="s">
        <v>579</v>
      </c>
      <c r="E235" s="53"/>
      <c r="F235" s="53"/>
      <c r="G235" s="53"/>
      <c r="H235" s="53"/>
      <c r="I235" s="53"/>
      <c r="J235" s="53"/>
      <c r="K235" s="53"/>
      <c r="L235" s="53"/>
      <c r="M235" s="53"/>
      <c r="N235" s="54"/>
      <c r="O235" s="36">
        <v>0</v>
      </c>
    </row>
    <row r="236" spans="2:15" ht="25.5">
      <c r="B236" s="18">
        <v>138</v>
      </c>
      <c r="C236" s="19" t="s">
        <v>580</v>
      </c>
      <c r="D236" s="20" t="s">
        <v>581</v>
      </c>
      <c r="E236" s="20" t="s">
        <v>285</v>
      </c>
      <c r="F236" s="21">
        <v>1.4</v>
      </c>
      <c r="G236" s="22">
        <v>1</v>
      </c>
      <c r="H236" s="23">
        <f>F236 * G236 * 7082.92288399999</f>
        <v>9916.0920375999995</v>
      </c>
      <c r="I236" s="23">
        <f>F236 * G236 * 7133.119816</f>
        <v>9986.3677423999998</v>
      </c>
      <c r="J236" s="23">
        <f>F236 * G236 * 0</f>
        <v>0</v>
      </c>
      <c r="K236" s="23">
        <f>F236 * G236 * 6742.942586</f>
        <v>9440.1196203999989</v>
      </c>
      <c r="L236" s="23">
        <f>F236 * G236 * 2360.62262</f>
        <v>3304.8716679999998</v>
      </c>
      <c r="M236" s="23">
        <f>F236 * G236 * 1416.584577</f>
        <v>1983.2184078</v>
      </c>
      <c r="N236" s="29">
        <f>SUM(H236:M236)</f>
        <v>34630.669476199997</v>
      </c>
      <c r="O236" s="33">
        <v>7.2015799241800377E-2</v>
      </c>
    </row>
    <row r="237" spans="2:15" s="15" customFormat="1" ht="12.75">
      <c r="B237" s="16"/>
      <c r="C237" s="17" t="s">
        <v>582</v>
      </c>
      <c r="D237" s="49" t="s">
        <v>583</v>
      </c>
      <c r="E237" s="49"/>
      <c r="F237" s="49"/>
      <c r="G237" s="49"/>
      <c r="H237" s="49"/>
      <c r="I237" s="49"/>
      <c r="J237" s="49"/>
      <c r="K237" s="49"/>
      <c r="L237" s="49"/>
      <c r="M237" s="49"/>
      <c r="N237" s="50"/>
      <c r="O237" s="32"/>
    </row>
    <row r="238" spans="2:15" s="15" customFormat="1" ht="12.75">
      <c r="B238" s="16"/>
      <c r="C238" s="17" t="s">
        <v>584</v>
      </c>
      <c r="D238" s="51" t="s">
        <v>585</v>
      </c>
      <c r="E238" s="51"/>
      <c r="F238" s="51"/>
      <c r="G238" s="51"/>
      <c r="H238" s="51"/>
      <c r="I238" s="51"/>
      <c r="J238" s="51"/>
      <c r="K238" s="51"/>
      <c r="L238" s="51"/>
      <c r="M238" s="51"/>
      <c r="N238" s="52"/>
      <c r="O238" s="35"/>
    </row>
    <row r="239" spans="2:15" ht="38.25">
      <c r="B239" s="18">
        <v>139</v>
      </c>
      <c r="C239" s="19" t="s">
        <v>586</v>
      </c>
      <c r="D239" s="20" t="s">
        <v>587</v>
      </c>
      <c r="E239" s="20" t="s">
        <v>588</v>
      </c>
      <c r="F239" s="21">
        <v>28</v>
      </c>
      <c r="G239" s="22">
        <v>12</v>
      </c>
      <c r="H239" s="23">
        <f>F239 * G239 * 25.29109</f>
        <v>8497.8062399999999</v>
      </c>
      <c r="I239" s="23">
        <f t="shared" ref="I239:I244" si="10">F239 * G239 * 0</f>
        <v>0</v>
      </c>
      <c r="J239" s="23">
        <f t="shared" ref="J239:J244" si="11">F239 * G239 * 0</f>
        <v>0</v>
      </c>
      <c r="K239" s="23">
        <f>F239 * G239 * 24.077118</f>
        <v>8089.9116479999993</v>
      </c>
      <c r="L239" s="23">
        <f>F239 * G239 * 5.741988</f>
        <v>1929.3079680000001</v>
      </c>
      <c r="M239" s="23">
        <f>F239 * G239 * 5.058218</f>
        <v>1699.561248</v>
      </c>
      <c r="N239" s="29">
        <f t="shared" ref="N239:N244" si="12">SUM(H239:M239)</f>
        <v>20216.587103999998</v>
      </c>
      <c r="O239" s="33">
        <v>4.2041164674469091E-2</v>
      </c>
    </row>
    <row r="240" spans="2:15" ht="25.5">
      <c r="B240" s="18">
        <v>140</v>
      </c>
      <c r="C240" s="19" t="s">
        <v>589</v>
      </c>
      <c r="D240" s="20" t="s">
        <v>590</v>
      </c>
      <c r="E240" s="20" t="s">
        <v>588</v>
      </c>
      <c r="F240" s="21">
        <v>28</v>
      </c>
      <c r="G240" s="22">
        <v>12</v>
      </c>
      <c r="H240" s="23">
        <f>F240 * G240 * 22.417962</f>
        <v>7532.4352319999998</v>
      </c>
      <c r="I240" s="23">
        <f t="shared" si="10"/>
        <v>0</v>
      </c>
      <c r="J240" s="23">
        <f t="shared" si="11"/>
        <v>0</v>
      </c>
      <c r="K240" s="23">
        <f>F240 * G240 * 21.3419</f>
        <v>7170.8783999999996</v>
      </c>
      <c r="L240" s="23">
        <f>F240 * G240 * 5.089684</f>
        <v>1710.133824</v>
      </c>
      <c r="M240" s="23">
        <f>F240 * G240 * 4.483592</f>
        <v>1506.4869119999998</v>
      </c>
      <c r="N240" s="29">
        <f t="shared" si="12"/>
        <v>17919.934367999998</v>
      </c>
      <c r="O240" s="33">
        <v>3.7265187632570557E-2</v>
      </c>
    </row>
    <row r="241" spans="2:15" ht="38.25">
      <c r="B241" s="18">
        <v>141</v>
      </c>
      <c r="C241" s="19" t="s">
        <v>591</v>
      </c>
      <c r="D241" s="20" t="s">
        <v>592</v>
      </c>
      <c r="E241" s="20" t="s">
        <v>593</v>
      </c>
      <c r="F241" s="21">
        <v>28</v>
      </c>
      <c r="G241" s="22">
        <v>1</v>
      </c>
      <c r="H241" s="23">
        <f>F241 * G241 * 134.042777</f>
        <v>3753.197756</v>
      </c>
      <c r="I241" s="23">
        <f t="shared" si="10"/>
        <v>0</v>
      </c>
      <c r="J241" s="23">
        <f t="shared" si="11"/>
        <v>0</v>
      </c>
      <c r="K241" s="23">
        <f>F241 * G241 * 127.608724</f>
        <v>3573.0442720000001</v>
      </c>
      <c r="L241" s="23">
        <f>F241 * G241 * 30.432536</f>
        <v>852.11100799999997</v>
      </c>
      <c r="M241" s="23">
        <f>F241 * G241 * 26.808555</f>
        <v>750.6395399999999</v>
      </c>
      <c r="N241" s="29">
        <f t="shared" si="12"/>
        <v>8928.9925760000006</v>
      </c>
      <c r="O241" s="33">
        <v>1.8568180936457634E-2</v>
      </c>
    </row>
    <row r="242" spans="2:15" ht="25.5">
      <c r="B242" s="18">
        <v>142</v>
      </c>
      <c r="C242" s="19" t="s">
        <v>594</v>
      </c>
      <c r="D242" s="20" t="s">
        <v>595</v>
      </c>
      <c r="E242" s="20" t="s">
        <v>588</v>
      </c>
      <c r="F242" s="21">
        <v>28</v>
      </c>
      <c r="G242" s="22">
        <v>1</v>
      </c>
      <c r="H242" s="23">
        <f>F242 * G242 * 50.58218</f>
        <v>1416.3010400000001</v>
      </c>
      <c r="I242" s="23">
        <f t="shared" si="10"/>
        <v>0</v>
      </c>
      <c r="J242" s="23">
        <f t="shared" si="11"/>
        <v>0</v>
      </c>
      <c r="K242" s="23">
        <f>F242 * G242 * 48.154235</f>
        <v>1348.3185800000001</v>
      </c>
      <c r="L242" s="23">
        <f>F242 * G242 * 11.483976</f>
        <v>321.55132800000001</v>
      </c>
      <c r="M242" s="23">
        <f>F242 * G242 * 10.116436</f>
        <v>283.26020800000003</v>
      </c>
      <c r="N242" s="29">
        <f t="shared" si="12"/>
        <v>3369.4311560000006</v>
      </c>
      <c r="O242" s="33">
        <v>7.0068607208511151E-3</v>
      </c>
    </row>
    <row r="243" spans="2:15" ht="25.5">
      <c r="B243" s="18">
        <v>143</v>
      </c>
      <c r="C243" s="19" t="s">
        <v>596</v>
      </c>
      <c r="D243" s="20" t="s">
        <v>597</v>
      </c>
      <c r="E243" s="20" t="s">
        <v>588</v>
      </c>
      <c r="F243" s="21">
        <v>28</v>
      </c>
      <c r="G243" s="22">
        <v>1</v>
      </c>
      <c r="H243" s="23">
        <f>F243 * G243 * 182.095849</f>
        <v>5098.6837719999994</v>
      </c>
      <c r="I243" s="23">
        <f t="shared" si="10"/>
        <v>0</v>
      </c>
      <c r="J243" s="23">
        <f t="shared" si="11"/>
        <v>0</v>
      </c>
      <c r="K243" s="23">
        <f>F243 * G243 * 173.355248</f>
        <v>4853.9469439999993</v>
      </c>
      <c r="L243" s="23">
        <f>F243 * G243 * 41.342313</f>
        <v>1157.584764</v>
      </c>
      <c r="M243" s="23">
        <f>F243 * G243 * 36.41917</f>
        <v>1019.73676</v>
      </c>
      <c r="N243" s="29">
        <f t="shared" si="12"/>
        <v>12129.952239999999</v>
      </c>
      <c r="O243" s="33">
        <v>2.5224698758099798E-2</v>
      </c>
    </row>
    <row r="244" spans="2:15" ht="25.5">
      <c r="B244" s="18">
        <v>144</v>
      </c>
      <c r="C244" s="19" t="s">
        <v>598</v>
      </c>
      <c r="D244" s="20" t="s">
        <v>599</v>
      </c>
      <c r="E244" s="20" t="s">
        <v>588</v>
      </c>
      <c r="F244" s="21">
        <v>28</v>
      </c>
      <c r="G244" s="22">
        <v>1</v>
      </c>
      <c r="H244" s="23">
        <f>F244 * G244 * 25.29109</f>
        <v>708.15052000000003</v>
      </c>
      <c r="I244" s="23">
        <f t="shared" si="10"/>
        <v>0</v>
      </c>
      <c r="J244" s="23">
        <f t="shared" si="11"/>
        <v>0</v>
      </c>
      <c r="K244" s="23">
        <f>F244 * G244 * 24.077118</f>
        <v>674.15930400000002</v>
      </c>
      <c r="L244" s="23">
        <f>F244 * G244 * 5.741988</f>
        <v>160.77566400000001</v>
      </c>
      <c r="M244" s="23">
        <f>F244 * G244 * 5.058218</f>
        <v>141.63010400000002</v>
      </c>
      <c r="N244" s="29">
        <f t="shared" si="12"/>
        <v>1684.715592</v>
      </c>
      <c r="O244" s="33">
        <v>3.5034303895390916E-3</v>
      </c>
    </row>
    <row r="245" spans="2:15" s="15" customFormat="1" ht="12.75">
      <c r="B245" s="16"/>
      <c r="C245" s="17" t="s">
        <v>600</v>
      </c>
      <c r="D245" s="51" t="s">
        <v>601</v>
      </c>
      <c r="E245" s="51"/>
      <c r="F245" s="51"/>
      <c r="G245" s="51"/>
      <c r="H245" s="51"/>
      <c r="I245" s="51"/>
      <c r="J245" s="51"/>
      <c r="K245" s="51"/>
      <c r="L245" s="51"/>
      <c r="M245" s="51"/>
      <c r="N245" s="52"/>
      <c r="O245" s="35"/>
    </row>
    <row r="246" spans="2:15" ht="38.25">
      <c r="B246" s="18">
        <v>145</v>
      </c>
      <c r="C246" s="19" t="s">
        <v>602</v>
      </c>
      <c r="D246" s="20" t="s">
        <v>603</v>
      </c>
      <c r="E246" s="20" t="s">
        <v>604</v>
      </c>
      <c r="F246" s="21">
        <v>7</v>
      </c>
      <c r="G246" s="22">
        <v>12</v>
      </c>
      <c r="H246" s="23">
        <f>F246 * G246 * 40.465744</f>
        <v>3399.122496</v>
      </c>
      <c r="I246" s="23">
        <f>F246 * G246 * 0</f>
        <v>0</v>
      </c>
      <c r="J246" s="23">
        <f>F246 * G246 * 0</f>
        <v>0</v>
      </c>
      <c r="K246" s="23">
        <f>F246 * G246 * 38.523389</f>
        <v>3235.9646760000001</v>
      </c>
      <c r="L246" s="23">
        <f>F246 * G246 * 9.18718</f>
        <v>771.72311999999999</v>
      </c>
      <c r="M246" s="23">
        <f>F246 * G246 * 8.093149</f>
        <v>679.82451600000002</v>
      </c>
      <c r="N246" s="29">
        <f>SUM(H246:M246)</f>
        <v>8086.6348079999989</v>
      </c>
      <c r="O246" s="33">
        <v>1.6816465799915154E-2</v>
      </c>
    </row>
    <row r="247" spans="2:15" ht="25.5">
      <c r="B247" s="18">
        <v>146</v>
      </c>
      <c r="C247" s="19" t="s">
        <v>605</v>
      </c>
      <c r="D247" s="20" t="s">
        <v>606</v>
      </c>
      <c r="E247" s="20" t="s">
        <v>604</v>
      </c>
      <c r="F247" s="21">
        <v>7</v>
      </c>
      <c r="G247" s="22">
        <v>12</v>
      </c>
      <c r="H247" s="23">
        <f>F247 * G247 * 22.417962</f>
        <v>1883.108808</v>
      </c>
      <c r="I247" s="23">
        <f>F247 * G247 * 0</f>
        <v>0</v>
      </c>
      <c r="J247" s="23">
        <f>F247 * G247 * 0</f>
        <v>0</v>
      </c>
      <c r="K247" s="23">
        <f>F247 * G247 * 21.3419</f>
        <v>1792.7195999999999</v>
      </c>
      <c r="L247" s="23">
        <f>F247 * G247 * 5.089684</f>
        <v>427.533456</v>
      </c>
      <c r="M247" s="23">
        <f>F247 * G247 * 4.483592</f>
        <v>376.62172799999996</v>
      </c>
      <c r="N247" s="29">
        <f>SUM(H247:M247)</f>
        <v>4479.9835919999996</v>
      </c>
      <c r="O247" s="33">
        <v>9.3162969081426392E-3</v>
      </c>
    </row>
    <row r="248" spans="2:15" ht="38.25">
      <c r="B248" s="18">
        <v>147</v>
      </c>
      <c r="C248" s="19" t="s">
        <v>607</v>
      </c>
      <c r="D248" s="20" t="s">
        <v>608</v>
      </c>
      <c r="E248" s="20" t="s">
        <v>593</v>
      </c>
      <c r="F248" s="21">
        <v>7</v>
      </c>
      <c r="G248" s="22">
        <v>1</v>
      </c>
      <c r="H248" s="23">
        <f>F248 * G248 * 217.503375</f>
        <v>1522.523625</v>
      </c>
      <c r="I248" s="23">
        <f>F248 * G248 * 0</f>
        <v>0</v>
      </c>
      <c r="J248" s="23">
        <f>F248 * G248 * 0</f>
        <v>0</v>
      </c>
      <c r="K248" s="23">
        <f>F248 * G248 * 207.063213</f>
        <v>1449.442491</v>
      </c>
      <c r="L248" s="23">
        <f>F248 * G248 * 49.381096</f>
        <v>345.66767199999998</v>
      </c>
      <c r="M248" s="23">
        <f>F248 * G248 * 43.500675</f>
        <v>304.50472500000001</v>
      </c>
      <c r="N248" s="29">
        <f>SUM(H248:M248)</f>
        <v>3622.1385129999999</v>
      </c>
      <c r="O248" s="33">
        <v>7.5323753171295709E-3</v>
      </c>
    </row>
    <row r="249" spans="2:15" ht="25.5">
      <c r="B249" s="18">
        <v>148</v>
      </c>
      <c r="C249" s="19" t="s">
        <v>609</v>
      </c>
      <c r="D249" s="20" t="s">
        <v>610</v>
      </c>
      <c r="E249" s="20" t="s">
        <v>604</v>
      </c>
      <c r="F249" s="21">
        <v>7</v>
      </c>
      <c r="G249" s="22">
        <v>1</v>
      </c>
      <c r="H249" s="23">
        <f>F249 * G249 * 50.58218</f>
        <v>354.07526000000001</v>
      </c>
      <c r="I249" s="23">
        <f>F249 * G249 * 0</f>
        <v>0</v>
      </c>
      <c r="J249" s="23">
        <f>F249 * G249 * 0</f>
        <v>0</v>
      </c>
      <c r="K249" s="23">
        <f>F249 * G249 * 48.154235</f>
        <v>337.07964500000003</v>
      </c>
      <c r="L249" s="23">
        <f>F249 * G249 * 11.483976</f>
        <v>80.387832000000003</v>
      </c>
      <c r="M249" s="23">
        <f>F249 * G249 * 10.116436</f>
        <v>70.815052000000009</v>
      </c>
      <c r="N249" s="29">
        <f>SUM(H249:M249)</f>
        <v>842.35778900000014</v>
      </c>
      <c r="O249" s="33">
        <v>1.7517151802127788E-3</v>
      </c>
    </row>
    <row r="250" spans="2:15" ht="38.25">
      <c r="B250" s="18">
        <v>149</v>
      </c>
      <c r="C250" s="19" t="s">
        <v>611</v>
      </c>
      <c r="D250" s="20" t="s">
        <v>612</v>
      </c>
      <c r="E250" s="20" t="s">
        <v>604</v>
      </c>
      <c r="F250" s="21">
        <v>7</v>
      </c>
      <c r="G250" s="22">
        <v>1</v>
      </c>
      <c r="H250" s="23">
        <f>F250 * G250 * 182.095849</f>
        <v>1274.6709429999999</v>
      </c>
      <c r="I250" s="23">
        <f>F250 * G250 * 0</f>
        <v>0</v>
      </c>
      <c r="J250" s="23">
        <f>F250 * G250 * 0</f>
        <v>0</v>
      </c>
      <c r="K250" s="23">
        <f>F250 * G250 * 173.355248</f>
        <v>1213.4867359999998</v>
      </c>
      <c r="L250" s="23">
        <f>F250 * G250 * 41.342313</f>
        <v>289.39619099999999</v>
      </c>
      <c r="M250" s="23">
        <f>F250 * G250 * 36.41917</f>
        <v>254.93419</v>
      </c>
      <c r="N250" s="29">
        <f>SUM(H250:M250)</f>
        <v>3032.4880599999997</v>
      </c>
      <c r="O250" s="33">
        <v>6.3061746895249496E-3</v>
      </c>
    </row>
    <row r="251" spans="2:15" s="15" customFormat="1" ht="12.75">
      <c r="B251" s="16"/>
      <c r="C251" s="17" t="s">
        <v>613</v>
      </c>
      <c r="D251" s="53" t="s">
        <v>614</v>
      </c>
      <c r="E251" s="53"/>
      <c r="F251" s="53"/>
      <c r="G251" s="53"/>
      <c r="H251" s="53"/>
      <c r="I251" s="53"/>
      <c r="J251" s="53"/>
      <c r="K251" s="53"/>
      <c r="L251" s="53"/>
      <c r="M251" s="53"/>
      <c r="N251" s="54"/>
      <c r="O251" s="36"/>
    </row>
    <row r="252" spans="2:15" ht="38.25">
      <c r="B252" s="18">
        <v>150</v>
      </c>
      <c r="C252" s="19" t="s">
        <v>615</v>
      </c>
      <c r="D252" s="20" t="s">
        <v>616</v>
      </c>
      <c r="E252" s="20" t="s">
        <v>604</v>
      </c>
      <c r="F252" s="21">
        <v>7</v>
      </c>
      <c r="G252" s="22">
        <v>1</v>
      </c>
      <c r="H252" s="23">
        <f>F252 * G252 * 40.465744</f>
        <v>283.26020800000003</v>
      </c>
      <c r="I252" s="23">
        <f>F252 * G252 * 0</f>
        <v>0</v>
      </c>
      <c r="J252" s="23">
        <f>F252 * G252 * 0</f>
        <v>0</v>
      </c>
      <c r="K252" s="23">
        <f>F252 * G252 * 38.523389</f>
        <v>269.663723</v>
      </c>
      <c r="L252" s="23">
        <f>F252 * G252 * 9.18718</f>
        <v>64.31026</v>
      </c>
      <c r="M252" s="23">
        <f>F252 * G252 * 8.093149</f>
        <v>56.652043000000006</v>
      </c>
      <c r="N252" s="29">
        <f>SUM(H252:M252)</f>
        <v>673.88623400000006</v>
      </c>
      <c r="O252" s="33">
        <v>1.4013721499929299E-3</v>
      </c>
    </row>
    <row r="253" spans="2:15" ht="25.5">
      <c r="B253" s="18">
        <v>151</v>
      </c>
      <c r="C253" s="19" t="s">
        <v>617</v>
      </c>
      <c r="D253" s="20" t="s">
        <v>618</v>
      </c>
      <c r="E253" s="20" t="s">
        <v>604</v>
      </c>
      <c r="F253" s="21">
        <v>7</v>
      </c>
      <c r="G253" s="22">
        <v>1</v>
      </c>
      <c r="H253" s="23">
        <f>F253 * G253 * 252.910901</f>
        <v>1770.376307</v>
      </c>
      <c r="I253" s="23">
        <f>F253 * G253 * 0</f>
        <v>0</v>
      </c>
      <c r="J253" s="23">
        <f>F253 * G253 * 0</f>
        <v>0</v>
      </c>
      <c r="K253" s="23">
        <f>F253 * G253 * 240.771178</f>
        <v>1685.398246</v>
      </c>
      <c r="L253" s="23">
        <f>F253 * G253 * 57.419879</f>
        <v>401.93915300000003</v>
      </c>
      <c r="M253" s="23">
        <f>F253 * G253 * 50.58218</f>
        <v>354.07526000000001</v>
      </c>
      <c r="N253" s="29">
        <f>SUM(H253:M253)</f>
        <v>4211.7889660000001</v>
      </c>
      <c r="O253" s="33">
        <v>8.758575944734193E-3</v>
      </c>
    </row>
    <row r="254" spans="2:15" ht="38.25">
      <c r="B254" s="18">
        <v>152</v>
      </c>
      <c r="C254" s="19" t="s">
        <v>619</v>
      </c>
      <c r="D254" s="20" t="s">
        <v>620</v>
      </c>
      <c r="E254" s="20" t="s">
        <v>604</v>
      </c>
      <c r="F254" s="21">
        <v>7</v>
      </c>
      <c r="G254" s="22">
        <v>1</v>
      </c>
      <c r="H254" s="23">
        <f>F254 * G254 * 306.044873</f>
        <v>2142.3141110000001</v>
      </c>
      <c r="I254" s="23">
        <f>F254 * G254 * 0</f>
        <v>0</v>
      </c>
      <c r="J254" s="23">
        <f>F254 * G254 * 0</f>
        <v>0</v>
      </c>
      <c r="K254" s="23">
        <f>F254 * G254 * 291.354719</f>
        <v>2039.483033</v>
      </c>
      <c r="L254" s="23">
        <f>F254 * G254 * 69.483204</f>
        <v>486.382428</v>
      </c>
      <c r="M254" s="23">
        <f>F254 * G254 * 61.208975</f>
        <v>428.46282500000001</v>
      </c>
      <c r="N254" s="29">
        <f>SUM(H254:M254)</f>
        <v>5096.6423969999996</v>
      </c>
      <c r="O254" s="33">
        <v>1.0598662434806477E-2</v>
      </c>
    </row>
    <row r="255" spans="2:15" ht="38.25">
      <c r="B255" s="18">
        <v>153</v>
      </c>
      <c r="C255" s="19" t="s">
        <v>621</v>
      </c>
      <c r="D255" s="20" t="s">
        <v>622</v>
      </c>
      <c r="E255" s="20" t="s">
        <v>604</v>
      </c>
      <c r="F255" s="21">
        <v>7</v>
      </c>
      <c r="G255" s="22">
        <v>12</v>
      </c>
      <c r="H255" s="23">
        <f>F255 * G255 * 38.749428</f>
        <v>3254.9519520000003</v>
      </c>
      <c r="I255" s="23">
        <f>F255 * G255 * 0</f>
        <v>0</v>
      </c>
      <c r="J255" s="23">
        <f>F255 * G255 * 0</f>
        <v>0</v>
      </c>
      <c r="K255" s="23">
        <f>F255 * G255 * 36.889455</f>
        <v>3098.7142199999998</v>
      </c>
      <c r="L255" s="23">
        <f>F255 * G255 * 8.797515</f>
        <v>738.99126000000001</v>
      </c>
      <c r="M255" s="23">
        <f>F255 * G255 * 7.749886</f>
        <v>650.99042399999996</v>
      </c>
      <c r="N255" s="29">
        <f>SUM(H255:M255)</f>
        <v>7743.6478559999996</v>
      </c>
      <c r="O255" s="33">
        <v>1.6103211339305767E-2</v>
      </c>
    </row>
    <row r="256" spans="2:15" ht="38.25">
      <c r="B256" s="18">
        <v>154</v>
      </c>
      <c r="C256" s="19" t="s">
        <v>623</v>
      </c>
      <c r="D256" s="20" t="s">
        <v>624</v>
      </c>
      <c r="E256" s="20" t="s">
        <v>604</v>
      </c>
      <c r="F256" s="21">
        <v>7</v>
      </c>
      <c r="G256" s="22">
        <v>12</v>
      </c>
      <c r="H256" s="23">
        <f>F256 * G256 * 464.993136</f>
        <v>39059.423424000001</v>
      </c>
      <c r="I256" s="23">
        <f>F256 * G256 * 0</f>
        <v>0</v>
      </c>
      <c r="J256" s="23">
        <f>F256 * G256 * 0</f>
        <v>0</v>
      </c>
      <c r="K256" s="23">
        <f>F256 * G256 * 442.673465</f>
        <v>37184.571060000002</v>
      </c>
      <c r="L256" s="23">
        <f>F256 * G256 * 105.570181</f>
        <v>8867.8952040000004</v>
      </c>
      <c r="M256" s="23">
        <f>F256 * G256 * 92.998627</f>
        <v>7811.8846679999997</v>
      </c>
      <c r="N256" s="29">
        <f>SUM(H256:M256)</f>
        <v>92923.774355999994</v>
      </c>
      <c r="O256" s="33">
        <v>0.19323853624635037</v>
      </c>
    </row>
    <row r="257" spans="2:15" s="15" customFormat="1" ht="12.75">
      <c r="B257" s="16"/>
      <c r="C257" s="17" t="s">
        <v>625</v>
      </c>
      <c r="D257" s="51" t="s">
        <v>626</v>
      </c>
      <c r="E257" s="51"/>
      <c r="F257" s="51"/>
      <c r="G257" s="51"/>
      <c r="H257" s="51"/>
      <c r="I257" s="51"/>
      <c r="J257" s="51"/>
      <c r="K257" s="51"/>
      <c r="L257" s="51"/>
      <c r="M257" s="51"/>
      <c r="N257" s="52"/>
      <c r="O257" s="35"/>
    </row>
    <row r="258" spans="2:15" ht="25.5">
      <c r="B258" s="18">
        <v>155</v>
      </c>
      <c r="C258" s="19" t="s">
        <v>627</v>
      </c>
      <c r="D258" s="20" t="s">
        <v>628</v>
      </c>
      <c r="E258" s="20" t="s">
        <v>629</v>
      </c>
      <c r="F258" s="21">
        <v>49</v>
      </c>
      <c r="G258" s="22">
        <v>0.4</v>
      </c>
      <c r="H258" s="23">
        <f>F258 * G258 * 804.256665</f>
        <v>15763.430634</v>
      </c>
      <c r="I258" s="23">
        <f>F258 * G258 * 0</f>
        <v>0</v>
      </c>
      <c r="J258" s="23">
        <f>F258 * G258 * 0</f>
        <v>0</v>
      </c>
      <c r="K258" s="23">
        <f>F258 * G258 * 765.652345</f>
        <v>15006.785962</v>
      </c>
      <c r="L258" s="23">
        <f>F258 * G258 * 182.595216</f>
        <v>3578.8662336000002</v>
      </c>
      <c r="M258" s="23">
        <f>F258 * G258 * 160.851333</f>
        <v>3152.6861268000002</v>
      </c>
      <c r="N258" s="29">
        <f>SUM(H258:M258)</f>
        <v>37501.768956399996</v>
      </c>
      <c r="O258" s="33">
        <v>7.7986360218434678E-2</v>
      </c>
    </row>
    <row r="259" spans="2:15" ht="25.5">
      <c r="B259" s="18">
        <v>156</v>
      </c>
      <c r="C259" s="19" t="s">
        <v>630</v>
      </c>
      <c r="D259" s="20" t="s">
        <v>631</v>
      </c>
      <c r="E259" s="20" t="s">
        <v>629</v>
      </c>
      <c r="F259" s="21">
        <v>49</v>
      </c>
      <c r="G259" s="22">
        <v>0.4</v>
      </c>
      <c r="H259" s="23">
        <f>F259 * G259 * 804.256665</f>
        <v>15763.430634</v>
      </c>
      <c r="I259" s="23">
        <f>F259 * G259 * 0</f>
        <v>0</v>
      </c>
      <c r="J259" s="23">
        <f>F259 * G259 * 0</f>
        <v>0</v>
      </c>
      <c r="K259" s="23">
        <f>F259 * G259 * 765.652345</f>
        <v>15006.785962</v>
      </c>
      <c r="L259" s="23">
        <f>F259 * G259 * 182.595216</f>
        <v>3578.8662336000002</v>
      </c>
      <c r="M259" s="23">
        <f>F259 * G259 * 160.851333</f>
        <v>3152.6861268000002</v>
      </c>
      <c r="N259" s="29">
        <f>SUM(H259:M259)</f>
        <v>37501.768956399996</v>
      </c>
      <c r="O259" s="33">
        <v>7.7986360218434678E-2</v>
      </c>
    </row>
    <row r="260" spans="2:15" s="12" customFormat="1" ht="15">
      <c r="B260" s="13"/>
      <c r="C260" s="14" t="s">
        <v>632</v>
      </c>
      <c r="D260" s="47" t="s">
        <v>633</v>
      </c>
      <c r="E260" s="47"/>
      <c r="F260" s="47"/>
      <c r="G260" s="47"/>
      <c r="H260" s="47"/>
      <c r="I260" s="47"/>
      <c r="J260" s="47"/>
      <c r="K260" s="47"/>
      <c r="L260" s="47"/>
      <c r="M260" s="47"/>
      <c r="N260" s="48"/>
      <c r="O260" s="34"/>
    </row>
    <row r="261" spans="2:15" s="15" customFormat="1" ht="12.75">
      <c r="B261" s="16"/>
      <c r="C261" s="17" t="s">
        <v>634</v>
      </c>
      <c r="D261" s="49" t="s">
        <v>635</v>
      </c>
      <c r="E261" s="49"/>
      <c r="F261" s="49"/>
      <c r="G261" s="49"/>
      <c r="H261" s="49"/>
      <c r="I261" s="49"/>
      <c r="J261" s="49"/>
      <c r="K261" s="49"/>
      <c r="L261" s="49"/>
      <c r="M261" s="49"/>
      <c r="N261" s="50"/>
      <c r="O261" s="32"/>
    </row>
    <row r="262" spans="2:15" ht="76.5">
      <c r="B262" s="18">
        <v>157</v>
      </c>
      <c r="C262" s="19" t="s">
        <v>636</v>
      </c>
      <c r="D262" s="20" t="s">
        <v>637</v>
      </c>
      <c r="E262" s="20" t="s">
        <v>638</v>
      </c>
      <c r="F262" s="21">
        <v>40.073</v>
      </c>
      <c r="G262" s="22">
        <v>3</v>
      </c>
      <c r="H262" s="23">
        <f>F262 * G262 * 2580.167523</f>
        <v>310185.15944753698</v>
      </c>
      <c r="I262" s="23">
        <f>F262 * G262 * 0</f>
        <v>0</v>
      </c>
      <c r="J262" s="23">
        <f>F262 * G262 * 0</f>
        <v>0</v>
      </c>
      <c r="K262" s="23">
        <f>F262 * G262 * 2456.319482</f>
        <v>295296.27180655795</v>
      </c>
      <c r="L262" s="23">
        <f>F262 * G262 * 585.790914</f>
        <v>70423.197890166004</v>
      </c>
      <c r="M262" s="23">
        <f>F262 * G262 * 516.033505</f>
        <v>62037.031937594998</v>
      </c>
      <c r="N262" s="29">
        <f>SUM(H262:M262)</f>
        <v>737941.66108185588</v>
      </c>
      <c r="O262" s="33">
        <v>1.5345778559999996</v>
      </c>
    </row>
    <row r="263" spans="2:15" s="12" customFormat="1" ht="15">
      <c r="B263" s="13"/>
      <c r="C263" s="14" t="s">
        <v>639</v>
      </c>
      <c r="D263" s="47" t="s">
        <v>640</v>
      </c>
      <c r="E263" s="47"/>
      <c r="F263" s="47"/>
      <c r="G263" s="47"/>
      <c r="H263" s="47"/>
      <c r="I263" s="47"/>
      <c r="J263" s="47"/>
      <c r="K263" s="47"/>
      <c r="L263" s="47"/>
      <c r="M263" s="47"/>
      <c r="N263" s="48"/>
      <c r="O263" s="34"/>
    </row>
    <row r="264" spans="2:15" s="15" customFormat="1" ht="12.75">
      <c r="B264" s="16"/>
      <c r="C264" s="17" t="s">
        <v>641</v>
      </c>
      <c r="D264" s="49" t="s">
        <v>642</v>
      </c>
      <c r="E264" s="49"/>
      <c r="F264" s="49"/>
      <c r="G264" s="49"/>
      <c r="H264" s="49"/>
      <c r="I264" s="49"/>
      <c r="J264" s="49"/>
      <c r="K264" s="49"/>
      <c r="L264" s="49"/>
      <c r="M264" s="49"/>
      <c r="N264" s="50"/>
      <c r="O264" s="32"/>
    </row>
    <row r="265" spans="2:15" s="15" customFormat="1" ht="12.75">
      <c r="B265" s="16"/>
      <c r="C265" s="17" t="s">
        <v>643</v>
      </c>
      <c r="D265" s="51" t="s">
        <v>644</v>
      </c>
      <c r="E265" s="51"/>
      <c r="F265" s="51"/>
      <c r="G265" s="51"/>
      <c r="H265" s="51"/>
      <c r="I265" s="51"/>
      <c r="J265" s="51"/>
      <c r="K265" s="51"/>
      <c r="L265" s="51"/>
      <c r="M265" s="51"/>
      <c r="N265" s="52"/>
      <c r="O265" s="35"/>
    </row>
    <row r="266" spans="2:15" ht="25.5">
      <c r="B266" s="18">
        <v>158</v>
      </c>
      <c r="C266" s="19" t="s">
        <v>645</v>
      </c>
      <c r="D266" s="20" t="s">
        <v>646</v>
      </c>
      <c r="E266" s="20" t="s">
        <v>647</v>
      </c>
      <c r="F266" s="21">
        <v>21</v>
      </c>
      <c r="G266" s="22">
        <v>365</v>
      </c>
      <c r="H266" s="23">
        <f>F266 * G266 * 15.751799</f>
        <v>120737.53933499999</v>
      </c>
      <c r="I266" s="23">
        <f>F266 * G266 * 0</f>
        <v>0</v>
      </c>
      <c r="J266" s="23">
        <f>F266 * G266 * 0</f>
        <v>0</v>
      </c>
      <c r="K266" s="23">
        <f>F266 * G266 * 14.995712</f>
        <v>114942.13248</v>
      </c>
      <c r="L266" s="23">
        <f>F266 * G266 * 3.576225</f>
        <v>27411.764625</v>
      </c>
      <c r="M266" s="23">
        <f>F266 * G266 * 3.15036</f>
        <v>24147.509399999999</v>
      </c>
      <c r="N266" s="29">
        <f>SUM(H266:M266)</f>
        <v>287238.94584</v>
      </c>
      <c r="O266" s="33">
        <v>0.59732435355476254</v>
      </c>
    </row>
    <row r="267" spans="2:15" s="15" customFormat="1" ht="12.75">
      <c r="B267" s="16"/>
      <c r="C267" s="17" t="s">
        <v>648</v>
      </c>
      <c r="D267" s="51" t="s">
        <v>649</v>
      </c>
      <c r="E267" s="51"/>
      <c r="F267" s="51"/>
      <c r="G267" s="51"/>
      <c r="H267" s="51"/>
      <c r="I267" s="51"/>
      <c r="J267" s="51"/>
      <c r="K267" s="51"/>
      <c r="L267" s="51"/>
      <c r="M267" s="51"/>
      <c r="N267" s="52"/>
      <c r="O267" s="35"/>
    </row>
    <row r="268" spans="2:15" ht="25.5">
      <c r="B268" s="18">
        <v>159</v>
      </c>
      <c r="C268" s="19" t="s">
        <v>650</v>
      </c>
      <c r="D268" s="20" t="s">
        <v>651</v>
      </c>
      <c r="E268" s="20" t="s">
        <v>652</v>
      </c>
      <c r="F268" s="21">
        <v>21</v>
      </c>
      <c r="G268" s="22">
        <v>12</v>
      </c>
      <c r="H268" s="23">
        <f>F268 * G268 * 47.17034</f>
        <v>11886.92568</v>
      </c>
      <c r="I268" s="23">
        <f t="shared" ref="I268:I277" si="13">F268 * G268 * 0</f>
        <v>0</v>
      </c>
      <c r="J268" s="23">
        <f t="shared" ref="J268:J277" si="14">F268 * G268 * 0</f>
        <v>0</v>
      </c>
      <c r="K268" s="23">
        <f>F268 * G268 * 44.906164</f>
        <v>11316.353327999999</v>
      </c>
      <c r="L268" s="23">
        <f>F268 * G268 * 10.709365</f>
        <v>2698.7599799999998</v>
      </c>
      <c r="M268" s="23">
        <f>F268 * G268 * 9.434068</f>
        <v>2377.3851359999999</v>
      </c>
      <c r="N268" s="29">
        <f t="shared" ref="N268:N277" si="15">SUM(H268:M268)</f>
        <v>28279.424123999997</v>
      </c>
      <c r="O268" s="33">
        <v>5.880814206573004E-2</v>
      </c>
    </row>
    <row r="269" spans="2:15" ht="25.5">
      <c r="B269" s="18">
        <v>160</v>
      </c>
      <c r="C269" s="19" t="s">
        <v>653</v>
      </c>
      <c r="D269" s="20" t="s">
        <v>654</v>
      </c>
      <c r="E269" s="20" t="s">
        <v>655</v>
      </c>
      <c r="F269" s="21">
        <v>21</v>
      </c>
      <c r="G269" s="22">
        <v>12</v>
      </c>
      <c r="H269" s="23">
        <f>F269 * G269 * 63.577415</f>
        <v>16021.50858</v>
      </c>
      <c r="I269" s="23">
        <f t="shared" si="13"/>
        <v>0</v>
      </c>
      <c r="J269" s="23">
        <f t="shared" si="14"/>
        <v>0</v>
      </c>
      <c r="K269" s="23">
        <f>F269 * G269 * 60.525699</f>
        <v>15252.476148000002</v>
      </c>
      <c r="L269" s="23">
        <f>F269 * G269 * 14.434362</f>
        <v>3637.4592240000002</v>
      </c>
      <c r="M269" s="23">
        <f>F269 * G269 * 12.715483</f>
        <v>3204.3017160000004</v>
      </c>
      <c r="N269" s="29">
        <f t="shared" si="15"/>
        <v>38115.745668000003</v>
      </c>
      <c r="O269" s="33">
        <v>7.9263148229481203E-2</v>
      </c>
    </row>
    <row r="270" spans="2:15" ht="25.5">
      <c r="B270" s="18">
        <v>161</v>
      </c>
      <c r="C270" s="19" t="s">
        <v>656</v>
      </c>
      <c r="D270" s="20" t="s">
        <v>657</v>
      </c>
      <c r="E270" s="20" t="s">
        <v>647</v>
      </c>
      <c r="F270" s="21">
        <v>21</v>
      </c>
      <c r="G270" s="22">
        <v>12</v>
      </c>
      <c r="H270" s="23">
        <f>F270 * G270 * 10.254422</f>
        <v>2584.1143440000001</v>
      </c>
      <c r="I270" s="23">
        <f t="shared" si="13"/>
        <v>0</v>
      </c>
      <c r="J270" s="23">
        <f t="shared" si="14"/>
        <v>0</v>
      </c>
      <c r="K270" s="23">
        <f>F270 * G270 * 9.762209</f>
        <v>2460.0766680000002</v>
      </c>
      <c r="L270" s="23">
        <f>F270 * G270 * 2.328123</f>
        <v>586.68699600000002</v>
      </c>
      <c r="M270" s="23">
        <f>F270 * G270 * 2.050884</f>
        <v>516.822768</v>
      </c>
      <c r="N270" s="29">
        <f t="shared" si="15"/>
        <v>6147.7007760000006</v>
      </c>
      <c r="O270" s="33">
        <v>1.2784378459311756E-2</v>
      </c>
    </row>
    <row r="271" spans="2:15">
      <c r="B271" s="18">
        <v>162</v>
      </c>
      <c r="C271" s="19" t="s">
        <v>658</v>
      </c>
      <c r="D271" s="20" t="s">
        <v>659</v>
      </c>
      <c r="E271" s="20" t="s">
        <v>647</v>
      </c>
      <c r="F271" s="21">
        <v>21</v>
      </c>
      <c r="G271" s="22">
        <v>52</v>
      </c>
      <c r="H271" s="23">
        <f>F271 * G271 * 43.068572</f>
        <v>47030.880624000005</v>
      </c>
      <c r="I271" s="23">
        <f t="shared" si="13"/>
        <v>0</v>
      </c>
      <c r="J271" s="23">
        <f t="shared" si="14"/>
        <v>0</v>
      </c>
      <c r="K271" s="23">
        <f>F271 * G271 * 41.001281</f>
        <v>44773.398851999998</v>
      </c>
      <c r="L271" s="23">
        <f>F271 * G271 * 9.778116</f>
        <v>10677.702672000001</v>
      </c>
      <c r="M271" s="23">
        <f>F271 * G271 * 8.613714</f>
        <v>9406.1756879999994</v>
      </c>
      <c r="N271" s="29">
        <f t="shared" si="15"/>
        <v>111888.157836</v>
      </c>
      <c r="O271" s="33">
        <v>0.23267569568038329</v>
      </c>
    </row>
    <row r="272" spans="2:15">
      <c r="B272" s="18">
        <v>163</v>
      </c>
      <c r="C272" s="19" t="s">
        <v>660</v>
      </c>
      <c r="D272" s="20" t="s">
        <v>661</v>
      </c>
      <c r="E272" s="20" t="s">
        <v>662</v>
      </c>
      <c r="F272" s="21">
        <v>189</v>
      </c>
      <c r="G272" s="22">
        <v>12</v>
      </c>
      <c r="H272" s="23">
        <f>F272 * G272 * 26.661497</f>
        <v>60468.275196000002</v>
      </c>
      <c r="I272" s="23">
        <f t="shared" si="13"/>
        <v>0</v>
      </c>
      <c r="J272" s="23">
        <f t="shared" si="14"/>
        <v>0</v>
      </c>
      <c r="K272" s="23">
        <f>F272 * G272 * 25.381745</f>
        <v>57565.797659999997</v>
      </c>
      <c r="L272" s="23">
        <f>F272 * G272 * 6.05312</f>
        <v>13728.47616</v>
      </c>
      <c r="M272" s="23">
        <f>F272 * G272 * 5.332299</f>
        <v>12093.654132</v>
      </c>
      <c r="N272" s="29">
        <f t="shared" si="15"/>
        <v>143856.203148</v>
      </c>
      <c r="O272" s="33">
        <v>0.29915446632395876</v>
      </c>
    </row>
    <row r="273" spans="2:15" ht="25.5">
      <c r="B273" s="18">
        <v>164</v>
      </c>
      <c r="C273" s="19" t="s">
        <v>663</v>
      </c>
      <c r="D273" s="20" t="s">
        <v>664</v>
      </c>
      <c r="E273" s="20" t="s">
        <v>662</v>
      </c>
      <c r="F273" s="21">
        <v>189</v>
      </c>
      <c r="G273" s="22">
        <v>12</v>
      </c>
      <c r="H273" s="23">
        <f>F273 * G273 * 14.356191</f>
        <v>32559.841188000002</v>
      </c>
      <c r="I273" s="23">
        <f t="shared" si="13"/>
        <v>0</v>
      </c>
      <c r="J273" s="23">
        <f t="shared" si="14"/>
        <v>0</v>
      </c>
      <c r="K273" s="23">
        <f>F273 * G273 * 13.6670939999999</f>
        <v>30996.969191999771</v>
      </c>
      <c r="L273" s="23">
        <f>F273 * G273 * 3.259373</f>
        <v>7392.2579640000004</v>
      </c>
      <c r="M273" s="23">
        <f>F273 * G273 * 2.871238</f>
        <v>6511.9677839999995</v>
      </c>
      <c r="N273" s="29">
        <f t="shared" si="15"/>
        <v>77461.036127999774</v>
      </c>
      <c r="O273" s="33">
        <v>0.16108318179322689</v>
      </c>
    </row>
    <row r="274" spans="2:15" ht="25.5">
      <c r="B274" s="18">
        <v>165</v>
      </c>
      <c r="C274" s="19" t="s">
        <v>665</v>
      </c>
      <c r="D274" s="20" t="s">
        <v>666</v>
      </c>
      <c r="E274" s="20" t="s">
        <v>662</v>
      </c>
      <c r="F274" s="21">
        <v>189</v>
      </c>
      <c r="G274" s="22">
        <v>1</v>
      </c>
      <c r="H274" s="23">
        <f>F274 * G274 * 14.356191</f>
        <v>2713.320099</v>
      </c>
      <c r="I274" s="23">
        <f t="shared" si="13"/>
        <v>0</v>
      </c>
      <c r="J274" s="23">
        <f t="shared" si="14"/>
        <v>0</v>
      </c>
      <c r="K274" s="23">
        <f>F274 * G274 * 13.6670939999999</f>
        <v>2583.0807659999809</v>
      </c>
      <c r="L274" s="23">
        <f>F274 * G274 * 3.259373</f>
        <v>616.02149700000007</v>
      </c>
      <c r="M274" s="23">
        <f>F274 * G274 * 2.871238</f>
        <v>542.66398200000003</v>
      </c>
      <c r="N274" s="29">
        <f t="shared" si="15"/>
        <v>6455.0863439999812</v>
      </c>
      <c r="O274" s="33">
        <v>1.3423598482768908E-2</v>
      </c>
    </row>
    <row r="275" spans="2:15" ht="25.5">
      <c r="B275" s="18">
        <v>166</v>
      </c>
      <c r="C275" s="19" t="s">
        <v>667</v>
      </c>
      <c r="D275" s="20" t="s">
        <v>668</v>
      </c>
      <c r="E275" s="20" t="s">
        <v>662</v>
      </c>
      <c r="F275" s="21">
        <v>189</v>
      </c>
      <c r="G275" s="22">
        <v>1</v>
      </c>
      <c r="H275" s="23">
        <f>F275 * G275 * 8.203537</f>
        <v>1550.4684930000001</v>
      </c>
      <c r="I275" s="23">
        <f t="shared" si="13"/>
        <v>0</v>
      </c>
      <c r="J275" s="23">
        <f t="shared" si="14"/>
        <v>0</v>
      </c>
      <c r="K275" s="23">
        <f>F275 * G275 * 7.809767</f>
        <v>1476.045963</v>
      </c>
      <c r="L275" s="23">
        <f>F275 * G275 * 1.862498</f>
        <v>352.01212199999998</v>
      </c>
      <c r="M275" s="23">
        <f>F275 * G275 * 1.640707</f>
        <v>310.09362299999998</v>
      </c>
      <c r="N275" s="29">
        <f t="shared" si="15"/>
        <v>3688.6202009999997</v>
      </c>
      <c r="O275" s="33">
        <v>7.6706265253412521E-3</v>
      </c>
    </row>
    <row r="276" spans="2:15">
      <c r="B276" s="18">
        <v>167</v>
      </c>
      <c r="C276" s="19" t="s">
        <v>669</v>
      </c>
      <c r="D276" s="20" t="s">
        <v>670</v>
      </c>
      <c r="E276" s="20" t="s">
        <v>671</v>
      </c>
      <c r="F276" s="21">
        <v>21</v>
      </c>
      <c r="G276" s="22">
        <v>1</v>
      </c>
      <c r="H276" s="23">
        <f>F276 * G276 * 47.17034</f>
        <v>990.5771400000001</v>
      </c>
      <c r="I276" s="23">
        <f t="shared" si="13"/>
        <v>0</v>
      </c>
      <c r="J276" s="23">
        <f t="shared" si="14"/>
        <v>0</v>
      </c>
      <c r="K276" s="23">
        <f>F276 * G276 * 44.906164</f>
        <v>943.0294439999999</v>
      </c>
      <c r="L276" s="23">
        <f>F276 * G276 * 10.709365</f>
        <v>224.89666500000001</v>
      </c>
      <c r="M276" s="23">
        <f>F276 * G276 * 9.434068</f>
        <v>198.11542800000001</v>
      </c>
      <c r="N276" s="29">
        <f t="shared" si="15"/>
        <v>2356.6186770000004</v>
      </c>
      <c r="O276" s="33">
        <v>4.9006785054775048E-3</v>
      </c>
    </row>
    <row r="277" spans="2:15">
      <c r="B277" s="18">
        <v>168</v>
      </c>
      <c r="C277" s="19" t="s">
        <v>672</v>
      </c>
      <c r="D277" s="20" t="s">
        <v>673</v>
      </c>
      <c r="E277" s="20" t="s">
        <v>674</v>
      </c>
      <c r="F277" s="21">
        <v>21</v>
      </c>
      <c r="G277" s="22">
        <v>1</v>
      </c>
      <c r="H277" s="23">
        <f>F277 * G277 * 36.915918</f>
        <v>775.2342779999999</v>
      </c>
      <c r="I277" s="23">
        <f t="shared" si="13"/>
        <v>0</v>
      </c>
      <c r="J277" s="23">
        <f t="shared" si="14"/>
        <v>0</v>
      </c>
      <c r="K277" s="23">
        <f>F277 * G277 * 35.143954</f>
        <v>738.02303400000005</v>
      </c>
      <c r="L277" s="23">
        <f>F277 * G277 * 8.381242</f>
        <v>176.00608199999999</v>
      </c>
      <c r="M277" s="23">
        <f>F277 * G277 * 7.383184</f>
        <v>155.046864</v>
      </c>
      <c r="N277" s="29">
        <f t="shared" si="15"/>
        <v>1844.310258</v>
      </c>
      <c r="O277" s="33">
        <v>3.8353135901978887E-3</v>
      </c>
    </row>
    <row r="278" spans="2:15" s="15" customFormat="1" ht="12.75">
      <c r="B278" s="16"/>
      <c r="C278" s="17" t="s">
        <v>675</v>
      </c>
      <c r="D278" s="51" t="s">
        <v>676</v>
      </c>
      <c r="E278" s="51"/>
      <c r="F278" s="51"/>
      <c r="G278" s="51"/>
      <c r="H278" s="51"/>
      <c r="I278" s="51"/>
      <c r="J278" s="51"/>
      <c r="K278" s="51"/>
      <c r="L278" s="51"/>
      <c r="M278" s="51"/>
      <c r="N278" s="52"/>
      <c r="O278" s="35"/>
    </row>
    <row r="279" spans="2:15" s="15" customFormat="1" ht="12.75">
      <c r="B279" s="16"/>
      <c r="C279" s="17" t="s">
        <v>677</v>
      </c>
      <c r="D279" s="53" t="s">
        <v>678</v>
      </c>
      <c r="E279" s="53"/>
      <c r="F279" s="53"/>
      <c r="G279" s="53"/>
      <c r="H279" s="53"/>
      <c r="I279" s="53"/>
      <c r="J279" s="53"/>
      <c r="K279" s="53"/>
      <c r="L279" s="53"/>
      <c r="M279" s="53"/>
      <c r="N279" s="54"/>
      <c r="O279" s="36"/>
    </row>
    <row r="280" spans="2:15">
      <c r="B280" s="18">
        <v>169</v>
      </c>
      <c r="C280" s="19" t="s">
        <v>679</v>
      </c>
      <c r="D280" s="20" t="s">
        <v>680</v>
      </c>
      <c r="E280" s="20" t="s">
        <v>681</v>
      </c>
      <c r="F280" s="21">
        <v>21</v>
      </c>
      <c r="G280" s="22">
        <v>26</v>
      </c>
      <c r="H280" s="23">
        <f>F280 * G280 * 87.976323</f>
        <v>48035.072357999998</v>
      </c>
      <c r="I280" s="23">
        <f>F280 * G280 * 0</f>
        <v>0</v>
      </c>
      <c r="J280" s="23">
        <f>F280 * G280 * 0</f>
        <v>0</v>
      </c>
      <c r="K280" s="23">
        <f>F280 * G280 * 83.75346</f>
        <v>45729.389159999999</v>
      </c>
      <c r="L280" s="23">
        <f>F280 * G280 * 19.973792</f>
        <v>10905.690431999999</v>
      </c>
      <c r="M280" s="23">
        <f>F280 * G280 * 17.595265</f>
        <v>9607.01469</v>
      </c>
      <c r="N280" s="29">
        <f>SUM(H280:M280)</f>
        <v>114277.16664</v>
      </c>
      <c r="O280" s="33">
        <v>0.23764373069148803</v>
      </c>
    </row>
    <row r="281" spans="2:15">
      <c r="B281" s="18">
        <v>170</v>
      </c>
      <c r="C281" s="19" t="s">
        <v>682</v>
      </c>
      <c r="D281" s="20" t="s">
        <v>683</v>
      </c>
      <c r="E281" s="20" t="s">
        <v>684</v>
      </c>
      <c r="F281" s="21">
        <v>21</v>
      </c>
      <c r="G281" s="22">
        <v>1</v>
      </c>
      <c r="H281" s="23">
        <f>F281 * G281 * 61.526531</f>
        <v>1292.057151</v>
      </c>
      <c r="I281" s="23">
        <f>F281 * G281 * 0</f>
        <v>0</v>
      </c>
      <c r="J281" s="23">
        <f>F281 * G281 * 0</f>
        <v>0</v>
      </c>
      <c r="K281" s="23">
        <f>F281 * G281 * 58.573257</f>
        <v>1230.038397</v>
      </c>
      <c r="L281" s="23">
        <f>F281 * G281 * 13.9687369999999</f>
        <v>293.3434769999979</v>
      </c>
      <c r="M281" s="23">
        <f>F281 * G281 * 12.305306</f>
        <v>258.41142600000001</v>
      </c>
      <c r="N281" s="29">
        <f>SUM(H281:M281)</f>
        <v>3073.8504509999984</v>
      </c>
      <c r="O281" s="33">
        <v>6.3921893606667798E-3</v>
      </c>
    </row>
    <row r="282" spans="2:15">
      <c r="B282" s="18">
        <v>171</v>
      </c>
      <c r="C282" s="19" t="s">
        <v>685</v>
      </c>
      <c r="D282" s="20" t="s">
        <v>686</v>
      </c>
      <c r="E282" s="20" t="s">
        <v>647</v>
      </c>
      <c r="F282" s="21">
        <v>21</v>
      </c>
      <c r="G282" s="22">
        <v>12</v>
      </c>
      <c r="H282" s="23">
        <f>F282 * G282 * 263.53864</f>
        <v>66411.737280000001</v>
      </c>
      <c r="I282" s="23">
        <f>F282 * G282 * 0</f>
        <v>0</v>
      </c>
      <c r="J282" s="23">
        <f>F282 * G282 * 0</f>
        <v>0</v>
      </c>
      <c r="K282" s="23">
        <f>F282 * G282 * 250.888784999999</f>
        <v>63223.973819999745</v>
      </c>
      <c r="L282" s="23">
        <f>F282 * G282 * 59.832759</f>
        <v>15077.855268000001</v>
      </c>
      <c r="M282" s="23">
        <f>F282 * G282 * 52.707728</f>
        <v>13282.347456000001</v>
      </c>
      <c r="N282" s="29">
        <f>SUM(H282:M282)</f>
        <v>157995.91382399976</v>
      </c>
      <c r="O282" s="33">
        <v>0.32855853447458339</v>
      </c>
    </row>
    <row r="283" spans="2:15" s="15" customFormat="1" ht="12.75">
      <c r="B283" s="16"/>
      <c r="C283" s="17" t="s">
        <v>687</v>
      </c>
      <c r="D283" s="53" t="s">
        <v>688</v>
      </c>
      <c r="E283" s="53"/>
      <c r="F283" s="53"/>
      <c r="G283" s="53"/>
      <c r="H283" s="53"/>
      <c r="I283" s="53"/>
      <c r="J283" s="53"/>
      <c r="K283" s="53"/>
      <c r="L283" s="53"/>
      <c r="M283" s="53"/>
      <c r="N283" s="54"/>
      <c r="O283" s="36"/>
    </row>
    <row r="284" spans="2:15" ht="25.5">
      <c r="B284" s="18">
        <v>172</v>
      </c>
      <c r="C284" s="19" t="s">
        <v>689</v>
      </c>
      <c r="D284" s="20" t="s">
        <v>690</v>
      </c>
      <c r="E284" s="20" t="s">
        <v>691</v>
      </c>
      <c r="F284" s="21">
        <v>21</v>
      </c>
      <c r="G284" s="22">
        <v>1</v>
      </c>
      <c r="H284" s="23">
        <f>F284 * G284 * 457.281055</f>
        <v>9602.9021549999998</v>
      </c>
      <c r="I284" s="23">
        <f t="shared" ref="I284:I302" si="16">F284 * G284 * 0</f>
        <v>0</v>
      </c>
      <c r="J284" s="23">
        <f t="shared" ref="J284:J302" si="17">F284 * G284 * 0</f>
        <v>0</v>
      </c>
      <c r="K284" s="23">
        <f>F284 * G284 * 435.331565</f>
        <v>9141.9628649999995</v>
      </c>
      <c r="L284" s="23">
        <f>F284 * G284 * 103.819261</f>
        <v>2180.2044809999998</v>
      </c>
      <c r="M284" s="23">
        <f>F284 * G284 * 91.456211</f>
        <v>1920.5804309999999</v>
      </c>
      <c r="N284" s="29">
        <f t="shared" ref="N284:N302" si="18">SUM(H284:M284)</f>
        <v>22845.649931999997</v>
      </c>
      <c r="O284" s="33">
        <v>4.750840119282309E-2</v>
      </c>
    </row>
    <row r="285" spans="2:15">
      <c r="B285" s="18">
        <v>173</v>
      </c>
      <c r="C285" s="19" t="s">
        <v>692</v>
      </c>
      <c r="D285" s="20" t="s">
        <v>693</v>
      </c>
      <c r="E285" s="20" t="s">
        <v>662</v>
      </c>
      <c r="F285" s="21">
        <v>189</v>
      </c>
      <c r="G285" s="22">
        <v>1</v>
      </c>
      <c r="H285" s="23">
        <f>F285 * G285 * 65.012089</f>
        <v>12287.284821000001</v>
      </c>
      <c r="I285" s="23">
        <f t="shared" si="16"/>
        <v>0</v>
      </c>
      <c r="J285" s="23">
        <f t="shared" si="17"/>
        <v>0</v>
      </c>
      <c r="K285" s="23">
        <f>F285 * G285 * 61.891509</f>
        <v>11697.495201</v>
      </c>
      <c r="L285" s="23">
        <f>F285 * G285 * 14.760085</f>
        <v>2789.6560650000001</v>
      </c>
      <c r="M285" s="23">
        <f>F285 * G285 * 13.002418</f>
        <v>2457.4570020000001</v>
      </c>
      <c r="N285" s="29">
        <f t="shared" si="18"/>
        <v>29231.893088999997</v>
      </c>
      <c r="O285" s="33">
        <v>6.0788837640056888E-2</v>
      </c>
    </row>
    <row r="286" spans="2:15">
      <c r="B286" s="18">
        <v>174</v>
      </c>
      <c r="C286" s="19" t="s">
        <v>694</v>
      </c>
      <c r="D286" s="20" t="s">
        <v>695</v>
      </c>
      <c r="E286" s="20" t="s">
        <v>662</v>
      </c>
      <c r="F286" s="21">
        <v>189</v>
      </c>
      <c r="G286" s="22">
        <v>1</v>
      </c>
      <c r="H286" s="23">
        <f>F286 * G286 * 225.090702</f>
        <v>42542.142677999997</v>
      </c>
      <c r="I286" s="23">
        <f t="shared" si="16"/>
        <v>0</v>
      </c>
      <c r="J286" s="23">
        <f t="shared" si="17"/>
        <v>0</v>
      </c>
      <c r="K286" s="23">
        <f>F286 * G286 * 214.286347999999</f>
        <v>40500.119771999816</v>
      </c>
      <c r="L286" s="23">
        <f>F286 * G286 * 51.103693</f>
        <v>9658.5979769999994</v>
      </c>
      <c r="M286" s="23">
        <f>F286 * G286 * 45.01814</f>
        <v>8508.428460000001</v>
      </c>
      <c r="N286" s="29">
        <f t="shared" si="18"/>
        <v>101209.2888869998</v>
      </c>
      <c r="O286" s="33">
        <v>0.21046858002270816</v>
      </c>
    </row>
    <row r="287" spans="2:15">
      <c r="B287" s="18">
        <v>175</v>
      </c>
      <c r="C287" s="19" t="s">
        <v>696</v>
      </c>
      <c r="D287" s="20" t="s">
        <v>697</v>
      </c>
      <c r="E287" s="20" t="s">
        <v>662</v>
      </c>
      <c r="F287" s="21">
        <v>189</v>
      </c>
      <c r="G287" s="22">
        <v>1</v>
      </c>
      <c r="H287" s="23">
        <f>F287 * G287 * 96.397236</f>
        <v>18219.077604000002</v>
      </c>
      <c r="I287" s="23">
        <f t="shared" si="16"/>
        <v>0</v>
      </c>
      <c r="J287" s="23">
        <f t="shared" si="17"/>
        <v>0</v>
      </c>
      <c r="K287" s="23">
        <f>F287 * G287 * 91.770168</f>
        <v>17344.561752000001</v>
      </c>
      <c r="L287" s="23">
        <f>F287 * G287 * 21.885643</f>
        <v>4136.3865270000006</v>
      </c>
      <c r="M287" s="23">
        <f>F287 * G287 * 19.279447</f>
        <v>3643.8154830000003</v>
      </c>
      <c r="N287" s="29">
        <f t="shared" si="18"/>
        <v>43343.841366000001</v>
      </c>
      <c r="O287" s="33">
        <v>9.0135172822099666E-2</v>
      </c>
    </row>
    <row r="288" spans="2:15">
      <c r="B288" s="18">
        <v>176</v>
      </c>
      <c r="C288" s="19" t="s">
        <v>698</v>
      </c>
      <c r="D288" s="20" t="s">
        <v>699</v>
      </c>
      <c r="E288" s="20" t="s">
        <v>662</v>
      </c>
      <c r="F288" s="21">
        <v>189</v>
      </c>
      <c r="G288" s="22">
        <v>1</v>
      </c>
      <c r="H288" s="23">
        <f>F288 * G288 * 164.879761</f>
        <v>31162.274829000002</v>
      </c>
      <c r="I288" s="23">
        <f t="shared" si="16"/>
        <v>0</v>
      </c>
      <c r="J288" s="23">
        <f t="shared" si="17"/>
        <v>0</v>
      </c>
      <c r="K288" s="23">
        <f>F288 * G288 * 156.965533</f>
        <v>29666.485736999999</v>
      </c>
      <c r="L288" s="23">
        <f>F288 * G288 * 37.433641</f>
        <v>7074.958149</v>
      </c>
      <c r="M288" s="23">
        <f>F288 * G288 * 32.975952</f>
        <v>6232.4549280000001</v>
      </c>
      <c r="N288" s="29">
        <f t="shared" si="18"/>
        <v>74136.173643000002</v>
      </c>
      <c r="O288" s="33">
        <v>0.15416900332518155</v>
      </c>
    </row>
    <row r="289" spans="2:15">
      <c r="B289" s="18">
        <v>177</v>
      </c>
      <c r="C289" s="19" t="s">
        <v>700</v>
      </c>
      <c r="D289" s="20" t="s">
        <v>701</v>
      </c>
      <c r="E289" s="20" t="s">
        <v>702</v>
      </c>
      <c r="F289" s="21">
        <v>21</v>
      </c>
      <c r="G289" s="22">
        <v>1</v>
      </c>
      <c r="H289" s="23">
        <f>F289 * G289 * 209.916048</f>
        <v>4408.2370080000001</v>
      </c>
      <c r="I289" s="23">
        <f t="shared" si="16"/>
        <v>0</v>
      </c>
      <c r="J289" s="23">
        <f t="shared" si="17"/>
        <v>0</v>
      </c>
      <c r="K289" s="23">
        <f>F289 * G289 * 199.840077</f>
        <v>4196.6416170000002</v>
      </c>
      <c r="L289" s="23">
        <f>F289 * G289 * 47.6585</f>
        <v>1000.8285</v>
      </c>
      <c r="M289" s="23">
        <f>F289 * G289 * 41.98321</f>
        <v>881.64741000000004</v>
      </c>
      <c r="N289" s="29">
        <f t="shared" si="18"/>
        <v>10487.354535</v>
      </c>
      <c r="O289" s="33">
        <v>2.1808854122476479E-2</v>
      </c>
    </row>
    <row r="290" spans="2:15">
      <c r="B290" s="18">
        <v>178</v>
      </c>
      <c r="C290" s="19" t="s">
        <v>703</v>
      </c>
      <c r="D290" s="20" t="s">
        <v>704</v>
      </c>
      <c r="E290" s="20" t="s">
        <v>705</v>
      </c>
      <c r="F290" s="21">
        <v>21</v>
      </c>
      <c r="G290" s="22">
        <v>1</v>
      </c>
      <c r="H290" s="23">
        <f>F290 * G290 * 201.519708</f>
        <v>4231.9138680000005</v>
      </c>
      <c r="I290" s="23">
        <f t="shared" si="16"/>
        <v>0</v>
      </c>
      <c r="J290" s="23">
        <f t="shared" si="17"/>
        <v>0</v>
      </c>
      <c r="K290" s="23">
        <f>F290 * G290 * 191.846762</f>
        <v>4028.7820020000004</v>
      </c>
      <c r="L290" s="23">
        <f>F290 * G290 * 45.7522279999999</f>
        <v>960.79678799999795</v>
      </c>
      <c r="M290" s="23">
        <f>F290 * G290 * 40.303942</f>
        <v>846.38278200000002</v>
      </c>
      <c r="N290" s="29">
        <f t="shared" si="18"/>
        <v>10067.87544</v>
      </c>
      <c r="O290" s="33">
        <v>2.0936531330322163E-2</v>
      </c>
    </row>
    <row r="291" spans="2:15">
      <c r="B291" s="18">
        <v>179</v>
      </c>
      <c r="C291" s="19" t="s">
        <v>706</v>
      </c>
      <c r="D291" s="20" t="s">
        <v>707</v>
      </c>
      <c r="E291" s="20" t="s">
        <v>708</v>
      </c>
      <c r="F291" s="21">
        <v>21</v>
      </c>
      <c r="G291" s="22">
        <v>1</v>
      </c>
      <c r="H291" s="23">
        <f>F291 * G291 * 77.859887</f>
        <v>1635.0576269999999</v>
      </c>
      <c r="I291" s="23">
        <f t="shared" si="16"/>
        <v>0</v>
      </c>
      <c r="J291" s="23">
        <f t="shared" si="17"/>
        <v>0</v>
      </c>
      <c r="K291" s="23">
        <f>F291 * G291 * 74.122613</f>
        <v>1556.574873</v>
      </c>
      <c r="L291" s="23">
        <f>F291 * G291 * 17.676997</f>
        <v>371.21693700000003</v>
      </c>
      <c r="M291" s="23">
        <f>F291 * G291 * 15.571977</f>
        <v>327.01151700000003</v>
      </c>
      <c r="N291" s="29">
        <f t="shared" si="18"/>
        <v>3889.8609539999998</v>
      </c>
      <c r="O291" s="33">
        <v>8.0891143538043067E-3</v>
      </c>
    </row>
    <row r="292" spans="2:15" ht="25.5">
      <c r="B292" s="18">
        <v>180</v>
      </c>
      <c r="C292" s="19" t="s">
        <v>709</v>
      </c>
      <c r="D292" s="20" t="s">
        <v>710</v>
      </c>
      <c r="E292" s="20" t="s">
        <v>711</v>
      </c>
      <c r="F292" s="21">
        <v>21</v>
      </c>
      <c r="G292" s="22">
        <v>1</v>
      </c>
      <c r="H292" s="23">
        <f>F292 * G292 * 286.949911</f>
        <v>6025.9481310000001</v>
      </c>
      <c r="I292" s="23">
        <f t="shared" si="16"/>
        <v>0</v>
      </c>
      <c r="J292" s="23">
        <f t="shared" si="17"/>
        <v>0</v>
      </c>
      <c r="K292" s="23">
        <f>F292 * G292 * 273.176315</f>
        <v>5736.7026150000002</v>
      </c>
      <c r="L292" s="23">
        <f>F292 * G292 * 65.14796</f>
        <v>1368.10716</v>
      </c>
      <c r="M292" s="23">
        <f>F292 * G292 * 57.389982</f>
        <v>1205.1896220000001</v>
      </c>
      <c r="N292" s="29">
        <f t="shared" si="18"/>
        <v>14335.947527999999</v>
      </c>
      <c r="O292" s="33">
        <v>2.981215017592893E-2</v>
      </c>
    </row>
    <row r="293" spans="2:15">
      <c r="B293" s="18">
        <v>181</v>
      </c>
      <c r="C293" s="19" t="s">
        <v>712</v>
      </c>
      <c r="D293" s="20" t="s">
        <v>713</v>
      </c>
      <c r="E293" s="20" t="s">
        <v>714</v>
      </c>
      <c r="F293" s="21">
        <v>21</v>
      </c>
      <c r="G293" s="22">
        <v>1</v>
      </c>
      <c r="H293" s="23">
        <f>F293 * G293 * 185.634333</f>
        <v>3898.3209929999998</v>
      </c>
      <c r="I293" s="23">
        <f t="shared" si="16"/>
        <v>0</v>
      </c>
      <c r="J293" s="23">
        <f t="shared" si="17"/>
        <v>0</v>
      </c>
      <c r="K293" s="23">
        <f>F293 * G293 * 176.723885</f>
        <v>3711.2015849999998</v>
      </c>
      <c r="L293" s="23">
        <f>F293 * G293 * 42.145676</f>
        <v>885.05919600000004</v>
      </c>
      <c r="M293" s="23">
        <f>F293 * G293 * 37.126867</f>
        <v>779.66420699999992</v>
      </c>
      <c r="N293" s="29">
        <f t="shared" si="18"/>
        <v>9274.245981</v>
      </c>
      <c r="O293" s="33">
        <v>1.9286148572604998E-2</v>
      </c>
    </row>
    <row r="294" spans="2:15">
      <c r="B294" s="18">
        <v>182</v>
      </c>
      <c r="C294" s="19" t="s">
        <v>715</v>
      </c>
      <c r="D294" s="20" t="s">
        <v>716</v>
      </c>
      <c r="E294" s="20" t="s">
        <v>717</v>
      </c>
      <c r="F294" s="21">
        <v>21</v>
      </c>
      <c r="G294" s="22">
        <v>1</v>
      </c>
      <c r="H294" s="23">
        <f>F294 * G294 * 133.789867</f>
        <v>2809.5872069999996</v>
      </c>
      <c r="I294" s="23">
        <f t="shared" si="16"/>
        <v>0</v>
      </c>
      <c r="J294" s="23">
        <f t="shared" si="17"/>
        <v>0</v>
      </c>
      <c r="K294" s="23">
        <f>F294 * G294 * 127.367954</f>
        <v>2674.727034</v>
      </c>
      <c r="L294" s="23">
        <f>F294 * G294 * 30.375116</f>
        <v>637.87743599999999</v>
      </c>
      <c r="M294" s="23">
        <f>F294 * G294 * 26.757973</f>
        <v>561.91743299999996</v>
      </c>
      <c r="N294" s="29">
        <f t="shared" si="18"/>
        <v>6684.1091099999994</v>
      </c>
      <c r="O294" s="33">
        <v>1.3899860067876127E-2</v>
      </c>
    </row>
    <row r="295" spans="2:15">
      <c r="B295" s="18">
        <v>183</v>
      </c>
      <c r="C295" s="19" t="s">
        <v>718</v>
      </c>
      <c r="D295" s="20" t="s">
        <v>719</v>
      </c>
      <c r="E295" s="20" t="s">
        <v>652</v>
      </c>
      <c r="F295" s="21">
        <v>21</v>
      </c>
      <c r="G295" s="22">
        <v>1</v>
      </c>
      <c r="H295" s="23">
        <f>F295 * G295 * 153.429778</f>
        <v>3222.0253379999999</v>
      </c>
      <c r="I295" s="23">
        <f t="shared" si="16"/>
        <v>0</v>
      </c>
      <c r="J295" s="23">
        <f t="shared" si="17"/>
        <v>0</v>
      </c>
      <c r="K295" s="23">
        <f>F295 * G295 * 146.065149</f>
        <v>3067.368129</v>
      </c>
      <c r="L295" s="23">
        <f>F295 * G295 * 34.834083</f>
        <v>731.51574300000004</v>
      </c>
      <c r="M295" s="23">
        <f>F295 * G295 * 30.685956</f>
        <v>644.40507600000001</v>
      </c>
      <c r="N295" s="29">
        <f t="shared" si="18"/>
        <v>7665.3142859999998</v>
      </c>
      <c r="O295" s="33">
        <v>1.5940313690015719E-2</v>
      </c>
    </row>
    <row r="296" spans="2:15">
      <c r="B296" s="18">
        <v>184</v>
      </c>
      <c r="C296" s="19" t="s">
        <v>720</v>
      </c>
      <c r="D296" s="20" t="s">
        <v>721</v>
      </c>
      <c r="E296" s="20" t="s">
        <v>722</v>
      </c>
      <c r="F296" s="21">
        <v>21</v>
      </c>
      <c r="G296" s="22">
        <v>1</v>
      </c>
      <c r="H296" s="23">
        <f>F296 * G296 * 174.508522</f>
        <v>3664.678962</v>
      </c>
      <c r="I296" s="23">
        <f t="shared" si="16"/>
        <v>0</v>
      </c>
      <c r="J296" s="23">
        <f t="shared" si="17"/>
        <v>0</v>
      </c>
      <c r="K296" s="23">
        <f>F296 * G296 * 166.132113</f>
        <v>3488.7743730000002</v>
      </c>
      <c r="L296" s="23">
        <f>F296 * G296 * 39.619717</f>
        <v>832.01405699999998</v>
      </c>
      <c r="M296" s="23">
        <f>F296 * G296 * 34.901704</f>
        <v>732.93578400000001</v>
      </c>
      <c r="N296" s="29">
        <f t="shared" si="18"/>
        <v>8718.4031759999998</v>
      </c>
      <c r="O296" s="33">
        <v>1.8130252239662616E-2</v>
      </c>
    </row>
    <row r="297" spans="2:15">
      <c r="B297" s="18">
        <v>185</v>
      </c>
      <c r="C297" s="19" t="s">
        <v>723</v>
      </c>
      <c r="D297" s="20" t="s">
        <v>724</v>
      </c>
      <c r="E297" s="20" t="s">
        <v>165</v>
      </c>
      <c r="F297" s="21">
        <v>7</v>
      </c>
      <c r="G297" s="22">
        <v>1</v>
      </c>
      <c r="H297" s="23">
        <f>F297 * G297 * 357.239483</f>
        <v>2500.6763810000002</v>
      </c>
      <c r="I297" s="23">
        <f t="shared" si="16"/>
        <v>0</v>
      </c>
      <c r="J297" s="23">
        <f t="shared" si="17"/>
        <v>0</v>
      </c>
      <c r="K297" s="23">
        <f>F297 * G297 * 340.091988</f>
        <v>2380.643916</v>
      </c>
      <c r="L297" s="23">
        <f>F297 * G297 * 81.106223</f>
        <v>567.743561</v>
      </c>
      <c r="M297" s="23">
        <f>F297 * G297 * 71.447897</f>
        <v>500.13527899999997</v>
      </c>
      <c r="N297" s="29">
        <f t="shared" si="18"/>
        <v>5949.1991370000005</v>
      </c>
      <c r="O297" s="33">
        <v>1.2371586722980561E-2</v>
      </c>
    </row>
    <row r="298" spans="2:15" ht="25.5">
      <c r="B298" s="18">
        <v>186</v>
      </c>
      <c r="C298" s="19" t="s">
        <v>725</v>
      </c>
      <c r="D298" s="20" t="s">
        <v>726</v>
      </c>
      <c r="E298" s="20" t="s">
        <v>711</v>
      </c>
      <c r="F298" s="21">
        <v>21</v>
      </c>
      <c r="G298" s="22">
        <v>1</v>
      </c>
      <c r="H298" s="23">
        <f>F298 * G298 * 71.737478</f>
        <v>1506.487038</v>
      </c>
      <c r="I298" s="23">
        <f t="shared" si="16"/>
        <v>0</v>
      </c>
      <c r="J298" s="23">
        <f t="shared" si="17"/>
        <v>0</v>
      </c>
      <c r="K298" s="23">
        <f>F298 * G298 * 68.294079</f>
        <v>1434.175659</v>
      </c>
      <c r="L298" s="23">
        <f>F298 * G298 * 16.28699</f>
        <v>342.02679000000001</v>
      </c>
      <c r="M298" s="23">
        <f>F298 * G298 * 14.347496</f>
        <v>301.297416</v>
      </c>
      <c r="N298" s="29">
        <f t="shared" si="18"/>
        <v>3583.9869029999995</v>
      </c>
      <c r="O298" s="33">
        <v>7.4530375876525334E-3</v>
      </c>
    </row>
    <row r="299" spans="2:15">
      <c r="B299" s="18">
        <v>187</v>
      </c>
      <c r="C299" s="19" t="s">
        <v>727</v>
      </c>
      <c r="D299" s="20" t="s">
        <v>728</v>
      </c>
      <c r="E299" s="20" t="s">
        <v>729</v>
      </c>
      <c r="F299" s="21">
        <v>21</v>
      </c>
      <c r="G299" s="22">
        <v>1</v>
      </c>
      <c r="H299" s="23">
        <f>F299 * G299 * 58.286701</f>
        <v>1224.0207210000001</v>
      </c>
      <c r="I299" s="23">
        <f t="shared" si="16"/>
        <v>0</v>
      </c>
      <c r="J299" s="23">
        <f t="shared" si="17"/>
        <v>0</v>
      </c>
      <c r="K299" s="23">
        <f>F299 * G299 * 55.48894</f>
        <v>1165.26774</v>
      </c>
      <c r="L299" s="23">
        <f>F299 * G299 * 13.2331799999999</f>
        <v>277.89677999999788</v>
      </c>
      <c r="M299" s="23">
        <f>F299 * G299 * 11.65734</f>
        <v>244.80413999999999</v>
      </c>
      <c r="N299" s="29">
        <f t="shared" si="18"/>
        <v>2911.989380999998</v>
      </c>
      <c r="O299" s="33">
        <v>6.0555930863673757E-3</v>
      </c>
    </row>
    <row r="300" spans="2:15">
      <c r="B300" s="18">
        <v>188</v>
      </c>
      <c r="C300" s="19" t="s">
        <v>730</v>
      </c>
      <c r="D300" s="20" t="s">
        <v>731</v>
      </c>
      <c r="E300" s="20" t="s">
        <v>442</v>
      </c>
      <c r="F300" s="21">
        <v>21</v>
      </c>
      <c r="G300" s="22">
        <v>1</v>
      </c>
      <c r="H300" s="23">
        <f>F300 * G300 * 167.169758</f>
        <v>3510.564918</v>
      </c>
      <c r="I300" s="23">
        <f t="shared" si="16"/>
        <v>0</v>
      </c>
      <c r="J300" s="23">
        <f t="shared" si="17"/>
        <v>0</v>
      </c>
      <c r="K300" s="23">
        <f>F300 * G300 * 159.14561</f>
        <v>3342.0578100000002</v>
      </c>
      <c r="L300" s="23">
        <f>F300 * G300 * 37.953554</f>
        <v>797.02463399999988</v>
      </c>
      <c r="M300" s="23">
        <f>F300 * G300 * 33.433952</f>
        <v>702.11299199999996</v>
      </c>
      <c r="N300" s="29">
        <f t="shared" si="18"/>
        <v>8351.760354</v>
      </c>
      <c r="O300" s="33">
        <v>1.7367804494297905E-2</v>
      </c>
    </row>
    <row r="301" spans="2:15">
      <c r="B301" s="18">
        <v>189</v>
      </c>
      <c r="C301" s="19" t="s">
        <v>732</v>
      </c>
      <c r="D301" s="20" t="s">
        <v>733</v>
      </c>
      <c r="E301" s="20" t="s">
        <v>734</v>
      </c>
      <c r="F301" s="21">
        <v>21</v>
      </c>
      <c r="G301" s="22">
        <v>1</v>
      </c>
      <c r="H301" s="23">
        <f>F301 * G301 * 38.929944</f>
        <v>817.52882399999999</v>
      </c>
      <c r="I301" s="23">
        <f t="shared" si="16"/>
        <v>0</v>
      </c>
      <c r="J301" s="23">
        <f t="shared" si="17"/>
        <v>0</v>
      </c>
      <c r="K301" s="23">
        <f>F301 * G301 * 37.061307</f>
        <v>778.28744699999993</v>
      </c>
      <c r="L301" s="23">
        <f>F301 * G301 * 8.838499</f>
        <v>185.60847900000002</v>
      </c>
      <c r="M301" s="23">
        <f>F301 * G301 * 7.785989</f>
        <v>163.50576899999999</v>
      </c>
      <c r="N301" s="29">
        <f t="shared" si="18"/>
        <v>1944.930519</v>
      </c>
      <c r="O301" s="33">
        <v>4.0445572642427569E-3</v>
      </c>
    </row>
    <row r="302" spans="2:15" ht="25.5">
      <c r="B302" s="18">
        <v>190</v>
      </c>
      <c r="C302" s="19" t="s">
        <v>735</v>
      </c>
      <c r="D302" s="20" t="s">
        <v>736</v>
      </c>
      <c r="E302" s="20" t="s">
        <v>737</v>
      </c>
      <c r="F302" s="21">
        <v>21</v>
      </c>
      <c r="G302" s="22">
        <v>1</v>
      </c>
      <c r="H302" s="23">
        <f>F302 * G302 * 36.639947</f>
        <v>769.43888700000002</v>
      </c>
      <c r="I302" s="23">
        <f t="shared" si="16"/>
        <v>0</v>
      </c>
      <c r="J302" s="23">
        <f t="shared" si="17"/>
        <v>0</v>
      </c>
      <c r="K302" s="23">
        <f>F302 * G302 * 34.88123</f>
        <v>732.50583000000006</v>
      </c>
      <c r="L302" s="23">
        <f>F302 * G302 * 8.318587</f>
        <v>174.69032700000002</v>
      </c>
      <c r="M302" s="23">
        <f>F302 * G302 * 7.327989</f>
        <v>153.88776899999999</v>
      </c>
      <c r="N302" s="29">
        <f t="shared" si="18"/>
        <v>1830.522813</v>
      </c>
      <c r="O302" s="33">
        <v>3.8066420719686574E-3</v>
      </c>
    </row>
    <row r="303" spans="2:15" s="15" customFormat="1" ht="12.75">
      <c r="B303" s="16"/>
      <c r="C303" s="17" t="s">
        <v>738</v>
      </c>
      <c r="D303" s="53" t="s">
        <v>739</v>
      </c>
      <c r="E303" s="53"/>
      <c r="F303" s="53"/>
      <c r="G303" s="53"/>
      <c r="H303" s="53"/>
      <c r="I303" s="53"/>
      <c r="J303" s="53"/>
      <c r="K303" s="53"/>
      <c r="L303" s="53"/>
      <c r="M303" s="53"/>
      <c r="N303" s="54"/>
      <c r="O303" s="36"/>
    </row>
    <row r="304" spans="2:15">
      <c r="B304" s="18">
        <v>191</v>
      </c>
      <c r="C304" s="19" t="s">
        <v>740</v>
      </c>
      <c r="D304" s="20" t="s">
        <v>741</v>
      </c>
      <c r="E304" s="20" t="s">
        <v>742</v>
      </c>
      <c r="F304" s="21">
        <v>21</v>
      </c>
      <c r="G304" s="22">
        <v>1</v>
      </c>
      <c r="H304" s="23">
        <f>F304 * G304 * 125.540586</f>
        <v>2636.3523060000002</v>
      </c>
      <c r="I304" s="23">
        <f t="shared" ref="I304:I314" si="19">F304 * G304 * 0</f>
        <v>0</v>
      </c>
      <c r="J304" s="23">
        <f t="shared" ref="J304:J314" si="20">F304 * G304 * 0</f>
        <v>0</v>
      </c>
      <c r="K304" s="23">
        <f>F304 * G304 * 119.514638</f>
        <v>2509.8073979999999</v>
      </c>
      <c r="L304" s="23">
        <f>F304 * G304 * 28.502233</f>
        <v>598.54689299999995</v>
      </c>
      <c r="M304" s="23">
        <f>F304 * G304 * 25.108117</f>
        <v>527.27045699999996</v>
      </c>
      <c r="N304" s="29">
        <f t="shared" ref="N304:N314" si="21">SUM(H304:M304)</f>
        <v>6271.977053999999</v>
      </c>
      <c r="O304" s="33">
        <v>1.3042815723804056E-2</v>
      </c>
    </row>
    <row r="305" spans="2:15">
      <c r="B305" s="18">
        <v>192</v>
      </c>
      <c r="C305" s="19" t="s">
        <v>743</v>
      </c>
      <c r="D305" s="20" t="s">
        <v>744</v>
      </c>
      <c r="E305" s="20" t="s">
        <v>745</v>
      </c>
      <c r="F305" s="21">
        <v>21</v>
      </c>
      <c r="G305" s="22">
        <v>1</v>
      </c>
      <c r="H305" s="23">
        <f>F305 * G305 * 114.208741</f>
        <v>2398.3835610000001</v>
      </c>
      <c r="I305" s="23">
        <f t="shared" si="19"/>
        <v>0</v>
      </c>
      <c r="J305" s="23">
        <f t="shared" si="20"/>
        <v>0</v>
      </c>
      <c r="K305" s="23">
        <f>F305 * G305 * 108.726722</f>
        <v>2283.2611619999998</v>
      </c>
      <c r="L305" s="23">
        <f>F305 * G305 * 25.929496</f>
        <v>544.51941599999998</v>
      </c>
      <c r="M305" s="23">
        <f>F305 * G305 * 22.841748</f>
        <v>479.67670799999996</v>
      </c>
      <c r="N305" s="29">
        <f t="shared" si="21"/>
        <v>5705.8408469999995</v>
      </c>
      <c r="O305" s="33">
        <v>1.1865513868440097E-2</v>
      </c>
    </row>
    <row r="306" spans="2:15">
      <c r="B306" s="18">
        <v>193</v>
      </c>
      <c r="C306" s="19" t="s">
        <v>746</v>
      </c>
      <c r="D306" s="20" t="s">
        <v>747</v>
      </c>
      <c r="E306" s="20" t="s">
        <v>748</v>
      </c>
      <c r="F306" s="21">
        <v>21</v>
      </c>
      <c r="G306" s="22">
        <v>1</v>
      </c>
      <c r="H306" s="23">
        <f>F306 * G306 * 176.329745</f>
        <v>3702.9246450000001</v>
      </c>
      <c r="I306" s="23">
        <f t="shared" si="19"/>
        <v>0</v>
      </c>
      <c r="J306" s="23">
        <f t="shared" si="20"/>
        <v>0</v>
      </c>
      <c r="K306" s="23">
        <f>F306 * G306 * 167.865917</f>
        <v>3525.1842569999999</v>
      </c>
      <c r="L306" s="23">
        <f>F306 * G306 * 40.0332</f>
        <v>840.69720000000007</v>
      </c>
      <c r="M306" s="23">
        <f>F306 * G306 * 35.265949</f>
        <v>740.58492899999999</v>
      </c>
      <c r="N306" s="29">
        <f t="shared" si="21"/>
        <v>8809.391031000001</v>
      </c>
      <c r="O306" s="33">
        <v>1.8319464957702196E-2</v>
      </c>
    </row>
    <row r="307" spans="2:15">
      <c r="B307" s="18">
        <v>194</v>
      </c>
      <c r="C307" s="19" t="s">
        <v>749</v>
      </c>
      <c r="D307" s="20" t="s">
        <v>750</v>
      </c>
      <c r="E307" s="20" t="s">
        <v>751</v>
      </c>
      <c r="F307" s="21">
        <v>21</v>
      </c>
      <c r="G307" s="22">
        <v>1</v>
      </c>
      <c r="H307" s="23">
        <f>F307 * G307 * 1224.859968</f>
        <v>25722.059327999999</v>
      </c>
      <c r="I307" s="23">
        <f t="shared" si="19"/>
        <v>0</v>
      </c>
      <c r="J307" s="23">
        <f t="shared" si="20"/>
        <v>0</v>
      </c>
      <c r="K307" s="23">
        <f>F307 * G307 * 1166.066689</f>
        <v>24487.400469</v>
      </c>
      <c r="L307" s="23">
        <f>F307 * G307 * 278.087306999999</f>
        <v>5839.8334469999791</v>
      </c>
      <c r="M307" s="23">
        <f>F307 * G307 * 244.971994</f>
        <v>5144.4118739999994</v>
      </c>
      <c r="N307" s="29">
        <f t="shared" si="21"/>
        <v>61193.705117999983</v>
      </c>
      <c r="O307" s="33">
        <v>0.127254645933671</v>
      </c>
    </row>
    <row r="308" spans="2:15" ht="25.5">
      <c r="B308" s="18">
        <v>195</v>
      </c>
      <c r="C308" s="19" t="s">
        <v>752</v>
      </c>
      <c r="D308" s="20" t="s">
        <v>753</v>
      </c>
      <c r="E308" s="20" t="s">
        <v>734</v>
      </c>
      <c r="F308" s="21">
        <v>21</v>
      </c>
      <c r="G308" s="22">
        <v>1</v>
      </c>
      <c r="H308" s="23">
        <f>F308 * G308 * 38.929944</f>
        <v>817.52882399999999</v>
      </c>
      <c r="I308" s="23">
        <f t="shared" si="19"/>
        <v>0</v>
      </c>
      <c r="J308" s="23">
        <f t="shared" si="20"/>
        <v>0</v>
      </c>
      <c r="K308" s="23">
        <f>F308 * G308 * 37.061307</f>
        <v>778.28744699999993</v>
      </c>
      <c r="L308" s="23">
        <f>F308 * G308 * 8.838499</f>
        <v>185.60847900000002</v>
      </c>
      <c r="M308" s="23">
        <f>F308 * G308 * 7.785989</f>
        <v>163.50576899999999</v>
      </c>
      <c r="N308" s="29">
        <f t="shared" si="21"/>
        <v>1944.930519</v>
      </c>
      <c r="O308" s="33">
        <v>4.0445572642427569E-3</v>
      </c>
    </row>
    <row r="309" spans="2:15">
      <c r="B309" s="18">
        <v>196</v>
      </c>
      <c r="C309" s="19" t="s">
        <v>754</v>
      </c>
      <c r="D309" s="20" t="s">
        <v>755</v>
      </c>
      <c r="E309" s="20" t="s">
        <v>684</v>
      </c>
      <c r="F309" s="21">
        <v>21</v>
      </c>
      <c r="G309" s="22">
        <v>1</v>
      </c>
      <c r="H309" s="23">
        <f>F309 * G309 * 89.671847</f>
        <v>1883.1087869999999</v>
      </c>
      <c r="I309" s="23">
        <f t="shared" si="19"/>
        <v>0</v>
      </c>
      <c r="J309" s="23">
        <f t="shared" si="20"/>
        <v>0</v>
      </c>
      <c r="K309" s="23">
        <f>F309 * G309 * 85.367599</f>
        <v>1792.7195790000001</v>
      </c>
      <c r="L309" s="23">
        <f>F309 * G309 * 20.358737</f>
        <v>427.533477</v>
      </c>
      <c r="M309" s="23">
        <f>F309 * G309 * 17.934369</f>
        <v>376.62174900000002</v>
      </c>
      <c r="N309" s="29">
        <f t="shared" si="21"/>
        <v>4479.9835919999996</v>
      </c>
      <c r="O309" s="33">
        <v>9.3162969081426392E-3</v>
      </c>
    </row>
    <row r="310" spans="2:15">
      <c r="B310" s="18">
        <v>197</v>
      </c>
      <c r="C310" s="19" t="s">
        <v>756</v>
      </c>
      <c r="D310" s="20" t="s">
        <v>757</v>
      </c>
      <c r="E310" s="20" t="s">
        <v>758</v>
      </c>
      <c r="F310" s="21">
        <v>21</v>
      </c>
      <c r="G310" s="22">
        <v>1</v>
      </c>
      <c r="H310" s="23">
        <f>F310 * G310 * 70.989897</f>
        <v>1490.7878370000001</v>
      </c>
      <c r="I310" s="23">
        <f t="shared" si="19"/>
        <v>0</v>
      </c>
      <c r="J310" s="23">
        <f t="shared" si="20"/>
        <v>0</v>
      </c>
      <c r="K310" s="23">
        <f>F310 * G310 * 67.582382</f>
        <v>1419.230022</v>
      </c>
      <c r="L310" s="23">
        <f>F310 * G310 * 16.117262</f>
        <v>338.46250200000003</v>
      </c>
      <c r="M310" s="23">
        <f>F310 * G310 * 14.197979</f>
        <v>298.15755899999999</v>
      </c>
      <c r="N310" s="29">
        <f t="shared" si="21"/>
        <v>3546.6379200000001</v>
      </c>
      <c r="O310" s="33">
        <v>7.3753689516632146E-3</v>
      </c>
    </row>
    <row r="311" spans="2:15">
      <c r="B311" s="18">
        <v>198</v>
      </c>
      <c r="C311" s="19" t="s">
        <v>759</v>
      </c>
      <c r="D311" s="20" t="s">
        <v>760</v>
      </c>
      <c r="E311" s="20" t="s">
        <v>758</v>
      </c>
      <c r="F311" s="21">
        <v>21</v>
      </c>
      <c r="G311" s="22">
        <v>1</v>
      </c>
      <c r="H311" s="23">
        <f>F311 * G311 * 105.339847</f>
        <v>2212.1367869999999</v>
      </c>
      <c r="I311" s="23">
        <f t="shared" si="19"/>
        <v>0</v>
      </c>
      <c r="J311" s="23">
        <f t="shared" si="20"/>
        <v>0</v>
      </c>
      <c r="K311" s="23">
        <f>F311 * G311 * 100.283535</f>
        <v>2105.9542350000002</v>
      </c>
      <c r="L311" s="23">
        <f>F311 * G311 * 23.915938</f>
        <v>502.23469800000004</v>
      </c>
      <c r="M311" s="23">
        <f>F311 * G311 * 21.067969</f>
        <v>442.42734900000005</v>
      </c>
      <c r="N311" s="29">
        <f t="shared" si="21"/>
        <v>5262.7530690000003</v>
      </c>
      <c r="O311" s="33">
        <v>1.0944095918698375E-2</v>
      </c>
    </row>
    <row r="312" spans="2:15" ht="25.5">
      <c r="B312" s="18">
        <v>199</v>
      </c>
      <c r="C312" s="19" t="s">
        <v>761</v>
      </c>
      <c r="D312" s="20" t="s">
        <v>762</v>
      </c>
      <c r="E312" s="20" t="s">
        <v>763</v>
      </c>
      <c r="F312" s="21">
        <v>21</v>
      </c>
      <c r="G312" s="22">
        <v>1</v>
      </c>
      <c r="H312" s="23">
        <f>F312 * G312 * 43.509937</f>
        <v>913.70867699999997</v>
      </c>
      <c r="I312" s="23">
        <f t="shared" si="19"/>
        <v>0</v>
      </c>
      <c r="J312" s="23">
        <f t="shared" si="20"/>
        <v>0</v>
      </c>
      <c r="K312" s="23">
        <f>F312 * G312 * 41.42146</f>
        <v>869.85066000000006</v>
      </c>
      <c r="L312" s="23">
        <f>F312 * G312 * 9.87832199999999</f>
        <v>207.4447619999998</v>
      </c>
      <c r="M312" s="23">
        <f>F312 * G312 * 8.701987</f>
        <v>182.74172700000003</v>
      </c>
      <c r="N312" s="29">
        <f t="shared" si="21"/>
        <v>2173.7458259999999</v>
      </c>
      <c r="O312" s="33">
        <v>4.5203874304394478E-3</v>
      </c>
    </row>
    <row r="313" spans="2:15">
      <c r="B313" s="18">
        <v>200</v>
      </c>
      <c r="C313" s="19" t="s">
        <v>764</v>
      </c>
      <c r="D313" s="20" t="s">
        <v>765</v>
      </c>
      <c r="E313" s="20" t="s">
        <v>507</v>
      </c>
      <c r="F313" s="21">
        <v>21</v>
      </c>
      <c r="G313" s="22">
        <v>1</v>
      </c>
      <c r="H313" s="23">
        <f>F313 * G313 * 137.399801</f>
        <v>2885.3958210000001</v>
      </c>
      <c r="I313" s="23">
        <f t="shared" si="19"/>
        <v>0</v>
      </c>
      <c r="J313" s="23">
        <f t="shared" si="20"/>
        <v>0</v>
      </c>
      <c r="K313" s="23">
        <f>F313 * G313 * 130.804611</f>
        <v>2746.896831</v>
      </c>
      <c r="L313" s="23">
        <f>F313 * G313 * 31.194701</f>
        <v>655.08872099999996</v>
      </c>
      <c r="M313" s="23">
        <f>F313 * G313 * 27.47996</f>
        <v>577.07916</v>
      </c>
      <c r="N313" s="29">
        <f t="shared" si="21"/>
        <v>6864.4605330000004</v>
      </c>
      <c r="O313" s="33">
        <v>1.4274907737129737E-2</v>
      </c>
    </row>
    <row r="314" spans="2:15">
      <c r="B314" s="18">
        <v>201</v>
      </c>
      <c r="C314" s="19" t="s">
        <v>766</v>
      </c>
      <c r="D314" s="20" t="s">
        <v>767</v>
      </c>
      <c r="E314" s="20" t="s">
        <v>768</v>
      </c>
      <c r="F314" s="21">
        <v>21</v>
      </c>
      <c r="G314" s="22">
        <v>1</v>
      </c>
      <c r="H314" s="23">
        <f>F314 * G314 * 25.189964</f>
        <v>528.98924399999999</v>
      </c>
      <c r="I314" s="23">
        <f t="shared" si="19"/>
        <v>0</v>
      </c>
      <c r="J314" s="23">
        <f t="shared" si="20"/>
        <v>0</v>
      </c>
      <c r="K314" s="23">
        <f>F314 * G314 * 23.980846</f>
        <v>503.59776599999998</v>
      </c>
      <c r="L314" s="23">
        <f>F314 * G314 * 5.719029</f>
        <v>120.099609</v>
      </c>
      <c r="M314" s="23">
        <f>F314 * G314 * 5.037993</f>
        <v>105.797853</v>
      </c>
      <c r="N314" s="29">
        <f t="shared" si="21"/>
        <v>1258.4844720000001</v>
      </c>
      <c r="O314" s="33">
        <v>2.6170665036308739E-3</v>
      </c>
    </row>
    <row r="315" spans="2:15" s="15" customFormat="1" ht="12.75">
      <c r="B315" s="16"/>
      <c r="C315" s="17" t="s">
        <v>769</v>
      </c>
      <c r="D315" s="51" t="s">
        <v>770</v>
      </c>
      <c r="E315" s="51"/>
      <c r="F315" s="51"/>
      <c r="G315" s="51"/>
      <c r="H315" s="51"/>
      <c r="I315" s="51"/>
      <c r="J315" s="51"/>
      <c r="K315" s="51"/>
      <c r="L315" s="51"/>
      <c r="M315" s="51"/>
      <c r="N315" s="52"/>
      <c r="O315" s="35"/>
    </row>
    <row r="316" spans="2:15" s="15" customFormat="1" ht="12.75">
      <c r="B316" s="16"/>
      <c r="C316" s="17" t="s">
        <v>771</v>
      </c>
      <c r="D316" s="53" t="s">
        <v>772</v>
      </c>
      <c r="E316" s="53"/>
      <c r="F316" s="53"/>
      <c r="G316" s="53"/>
      <c r="H316" s="53"/>
      <c r="I316" s="53"/>
      <c r="J316" s="53"/>
      <c r="K316" s="53"/>
      <c r="L316" s="53"/>
      <c r="M316" s="53"/>
      <c r="N316" s="54"/>
      <c r="O316" s="36"/>
    </row>
    <row r="317" spans="2:15" ht="25.5">
      <c r="B317" s="18">
        <v>202</v>
      </c>
      <c r="C317" s="19" t="s">
        <v>773</v>
      </c>
      <c r="D317" s="20" t="s">
        <v>774</v>
      </c>
      <c r="E317" s="20" t="s">
        <v>775</v>
      </c>
      <c r="F317" s="21">
        <v>21</v>
      </c>
      <c r="G317" s="22">
        <v>1</v>
      </c>
      <c r="H317" s="23">
        <f>F317 * G317 * 5668.500715</f>
        <v>119038.515015</v>
      </c>
      <c r="I317" s="23">
        <f>F317 * G317 * 6499.9872</f>
        <v>136499.73119999998</v>
      </c>
      <c r="J317" s="23">
        <f>F317 * G317 * 0</f>
        <v>0</v>
      </c>
      <c r="K317" s="23">
        <f>F317 * G317 * 5396.412681</f>
        <v>113324.66630099999</v>
      </c>
      <c r="L317" s="23">
        <f>F317 * G317 * 1972.702378</f>
        <v>41426.749938000001</v>
      </c>
      <c r="M317" s="23">
        <f>F317 * G317 * 1133.700143</f>
        <v>23807.703003000002</v>
      </c>
      <c r="N317" s="29">
        <f>SUM(H317:M317)</f>
        <v>434097.36545699998</v>
      </c>
      <c r="O317" s="33">
        <v>0.90272204363910857</v>
      </c>
    </row>
    <row r="318" spans="2:15" s="15" customFormat="1" ht="12.75">
      <c r="B318" s="16"/>
      <c r="C318" s="17" t="s">
        <v>776</v>
      </c>
      <c r="D318" s="55" t="s">
        <v>777</v>
      </c>
      <c r="E318" s="55"/>
      <c r="F318" s="55"/>
      <c r="G318" s="55"/>
      <c r="H318" s="55"/>
      <c r="I318" s="55"/>
      <c r="J318" s="55"/>
      <c r="K318" s="55"/>
      <c r="L318" s="55"/>
      <c r="M318" s="55"/>
      <c r="N318" s="56"/>
      <c r="O318" s="37"/>
    </row>
    <row r="319" spans="2:15" ht="25.5">
      <c r="B319" s="18">
        <v>203</v>
      </c>
      <c r="C319" s="19" t="s">
        <v>778</v>
      </c>
      <c r="D319" s="20" t="s">
        <v>779</v>
      </c>
      <c r="E319" s="20" t="s">
        <v>780</v>
      </c>
      <c r="F319" s="21">
        <v>21</v>
      </c>
      <c r="G319" s="22">
        <v>1</v>
      </c>
      <c r="H319" s="23">
        <f>F319 * G319 * 58.286701</f>
        <v>1224.0207210000001</v>
      </c>
      <c r="I319" s="23">
        <f>F319 * G319 * 2148.03912</f>
        <v>45108.821519999998</v>
      </c>
      <c r="J319" s="23">
        <f>F319 * G319 * 0</f>
        <v>0</v>
      </c>
      <c r="K319" s="23">
        <f>F319 * G319 * 55.48894</f>
        <v>1165.26774</v>
      </c>
      <c r="L319" s="23">
        <f>F319 * G319 * 239.851307</f>
        <v>5036.8774469999998</v>
      </c>
      <c r="M319" s="23">
        <f>F319 * G319 * 11.65734</f>
        <v>244.80413999999999</v>
      </c>
      <c r="N319" s="29">
        <f>SUM(H319:M319)</f>
        <v>52779.791568000001</v>
      </c>
      <c r="O319" s="33">
        <v>0.10975759149552067</v>
      </c>
    </row>
    <row r="320" spans="2:15" s="15" customFormat="1" ht="12.75">
      <c r="B320" s="16"/>
      <c r="C320" s="17" t="s">
        <v>781</v>
      </c>
      <c r="D320" s="49" t="s">
        <v>782</v>
      </c>
      <c r="E320" s="49"/>
      <c r="F320" s="49"/>
      <c r="G320" s="49"/>
      <c r="H320" s="49"/>
      <c r="I320" s="49"/>
      <c r="J320" s="49"/>
      <c r="K320" s="49"/>
      <c r="L320" s="49"/>
      <c r="M320" s="49"/>
      <c r="N320" s="50"/>
      <c r="O320" s="32"/>
    </row>
    <row r="321" spans="2:15" ht="38.25">
      <c r="B321" s="18">
        <v>204</v>
      </c>
      <c r="C321" s="19" t="s">
        <v>783</v>
      </c>
      <c r="D321" s="20" t="s">
        <v>784</v>
      </c>
      <c r="E321" s="20" t="s">
        <v>785</v>
      </c>
      <c r="F321" s="21">
        <v>21</v>
      </c>
      <c r="G321" s="22">
        <v>1</v>
      </c>
      <c r="H321" s="23">
        <f>F321 * G321 * 2427.944648</f>
        <v>50986.837608000002</v>
      </c>
      <c r="I321" s="23">
        <f>F321 * G321 * 23909.9904</f>
        <v>502109.79839999997</v>
      </c>
      <c r="J321" s="23">
        <f>F321 * G321 * 0</f>
        <v>0</v>
      </c>
      <c r="K321" s="23">
        <f>F321 * G321 * 2311.403305</f>
        <v>48539.469404999996</v>
      </c>
      <c r="L321" s="23">
        <f>F321 * G321 * 3073.734828</f>
        <v>64548.431388000005</v>
      </c>
      <c r="M321" s="23">
        <f>F321 * G321 * 485.58893</f>
        <v>10197.36753</v>
      </c>
      <c r="N321" s="29">
        <f>SUM(H321:M321)</f>
        <v>676381.90433100006</v>
      </c>
      <c r="O321" s="33">
        <v>1.4065619917213585</v>
      </c>
    </row>
    <row r="322" spans="2:15" s="15" customFormat="1" ht="12.75">
      <c r="B322" s="16"/>
      <c r="C322" s="17" t="s">
        <v>786</v>
      </c>
      <c r="D322" s="49" t="s">
        <v>787</v>
      </c>
      <c r="E322" s="49"/>
      <c r="F322" s="49"/>
      <c r="G322" s="49"/>
      <c r="H322" s="49"/>
      <c r="I322" s="49"/>
      <c r="J322" s="49"/>
      <c r="K322" s="49"/>
      <c r="L322" s="49"/>
      <c r="M322" s="49"/>
      <c r="N322" s="50"/>
      <c r="O322" s="32"/>
    </row>
    <row r="323" spans="2:15" s="15" customFormat="1" ht="12.75">
      <c r="B323" s="16"/>
      <c r="C323" s="17" t="s">
        <v>788</v>
      </c>
      <c r="D323" s="51" t="s">
        <v>789</v>
      </c>
      <c r="E323" s="51"/>
      <c r="F323" s="51"/>
      <c r="G323" s="51"/>
      <c r="H323" s="51"/>
      <c r="I323" s="51"/>
      <c r="J323" s="51"/>
      <c r="K323" s="51"/>
      <c r="L323" s="51"/>
      <c r="M323" s="51"/>
      <c r="N323" s="52"/>
      <c r="O323" s="35"/>
    </row>
    <row r="324" spans="2:15">
      <c r="B324" s="18">
        <v>205</v>
      </c>
      <c r="C324" s="19" t="s">
        <v>790</v>
      </c>
      <c r="D324" s="20" t="s">
        <v>791</v>
      </c>
      <c r="E324" s="20" t="s">
        <v>647</v>
      </c>
      <c r="F324" s="21">
        <v>21</v>
      </c>
      <c r="G324" s="22">
        <v>1</v>
      </c>
      <c r="H324" s="23">
        <f>F324 * G324 * 3512.932412</f>
        <v>73771.580652000004</v>
      </c>
      <c r="I324" s="23">
        <f>F324 * G324 * 0</f>
        <v>0</v>
      </c>
      <c r="J324" s="23">
        <f>F324 * G324 * 0</f>
        <v>0</v>
      </c>
      <c r="K324" s="23">
        <f>F324 * G324 * 3344.311656</f>
        <v>70230.544775999995</v>
      </c>
      <c r="L324" s="23">
        <f>F324 * G324 * 797.562123</f>
        <v>16748.804583000001</v>
      </c>
      <c r="M324" s="23">
        <f>F324 * G324 * 702.586482</f>
        <v>14754.316122</v>
      </c>
      <c r="N324" s="29">
        <f>SUM(H324:M324)</f>
        <v>175505.24613299998</v>
      </c>
      <c r="O324" s="33">
        <v>0.36496985945025323</v>
      </c>
    </row>
    <row r="325" spans="2:15" ht="25.5">
      <c r="B325" s="18">
        <v>206</v>
      </c>
      <c r="C325" s="19" t="s">
        <v>792</v>
      </c>
      <c r="D325" s="20" t="s">
        <v>793</v>
      </c>
      <c r="E325" s="20" t="s">
        <v>794</v>
      </c>
      <c r="F325" s="21">
        <v>168</v>
      </c>
      <c r="G325" s="22">
        <v>1</v>
      </c>
      <c r="H325" s="23">
        <f>F325 * G325 * 379.366351</f>
        <v>63733.546968000002</v>
      </c>
      <c r="I325" s="23">
        <f>F325 * G325 * 0</f>
        <v>0</v>
      </c>
      <c r="J325" s="23">
        <f>F325 * G325 * 0</f>
        <v>0</v>
      </c>
      <c r="K325" s="23">
        <f>F325 * G325 * 361.156766</f>
        <v>60674.336688000003</v>
      </c>
      <c r="L325" s="23">
        <f>F325 * G325 * 86.129819</f>
        <v>14469.809592</v>
      </c>
      <c r="M325" s="23">
        <f>F325 * G325 * 75.87327</f>
        <v>12746.709360000001</v>
      </c>
      <c r="N325" s="29">
        <f>SUM(H325:M325)</f>
        <v>151624.402608</v>
      </c>
      <c r="O325" s="33">
        <v>0.31530873366106854</v>
      </c>
    </row>
    <row r="326" spans="2:15" s="12" customFormat="1" ht="15">
      <c r="B326" s="13"/>
      <c r="C326" s="14" t="s">
        <v>795</v>
      </c>
      <c r="D326" s="47" t="s">
        <v>796</v>
      </c>
      <c r="E326" s="47"/>
      <c r="F326" s="47"/>
      <c r="G326" s="47"/>
      <c r="H326" s="47"/>
      <c r="I326" s="47"/>
      <c r="J326" s="47"/>
      <c r="K326" s="47"/>
      <c r="L326" s="47"/>
      <c r="M326" s="47"/>
      <c r="N326" s="48"/>
      <c r="O326" s="34"/>
    </row>
    <row r="327" spans="2:15" s="15" customFormat="1" ht="12.75">
      <c r="B327" s="16"/>
      <c r="C327" s="17" t="s">
        <v>797</v>
      </c>
      <c r="D327" s="49" t="s">
        <v>798</v>
      </c>
      <c r="E327" s="49"/>
      <c r="F327" s="49"/>
      <c r="G327" s="49"/>
      <c r="H327" s="49"/>
      <c r="I327" s="49"/>
      <c r="J327" s="49"/>
      <c r="K327" s="49"/>
      <c r="L327" s="49"/>
      <c r="M327" s="49"/>
      <c r="N327" s="50"/>
      <c r="O327" s="32"/>
    </row>
    <row r="328" spans="2:15" s="15" customFormat="1" ht="12.75">
      <c r="B328" s="16"/>
      <c r="C328" s="17" t="s">
        <v>799</v>
      </c>
      <c r="D328" s="51" t="s">
        <v>800</v>
      </c>
      <c r="E328" s="51"/>
      <c r="F328" s="51"/>
      <c r="G328" s="51"/>
      <c r="H328" s="51"/>
      <c r="I328" s="51"/>
      <c r="J328" s="51"/>
      <c r="K328" s="51"/>
      <c r="L328" s="51"/>
      <c r="M328" s="51"/>
      <c r="N328" s="52"/>
      <c r="O328" s="35"/>
    </row>
    <row r="329" spans="2:15" s="15" customFormat="1" ht="12.75">
      <c r="B329" s="16"/>
      <c r="C329" s="17" t="s">
        <v>801</v>
      </c>
      <c r="D329" s="53" t="s">
        <v>802</v>
      </c>
      <c r="E329" s="53"/>
      <c r="F329" s="53"/>
      <c r="G329" s="53"/>
      <c r="H329" s="53"/>
      <c r="I329" s="53"/>
      <c r="J329" s="53"/>
      <c r="K329" s="53"/>
      <c r="L329" s="53"/>
      <c r="M329" s="53"/>
      <c r="N329" s="54"/>
      <c r="O329" s="36"/>
    </row>
    <row r="330" spans="2:15" ht="38.25">
      <c r="B330" s="18">
        <v>207</v>
      </c>
      <c r="C330" s="19" t="s">
        <v>803</v>
      </c>
      <c r="D330" s="20" t="s">
        <v>804</v>
      </c>
      <c r="E330" s="20" t="s">
        <v>805</v>
      </c>
      <c r="F330" s="21">
        <v>16.568999999999999</v>
      </c>
      <c r="G330" s="22">
        <v>104</v>
      </c>
      <c r="H330" s="23">
        <f>F330 * G330 * 242.61962</f>
        <v>418076.30631312</v>
      </c>
      <c r="I330" s="23">
        <f>F330 * G330 * 3.563352</f>
        <v>6140.2826459520002</v>
      </c>
      <c r="J330" s="23">
        <f>F330 * G330 * 0</f>
        <v>0</v>
      </c>
      <c r="K330" s="23">
        <f>F330 * G330 * 230.973878</f>
        <v>398008.64319652802</v>
      </c>
      <c r="L330" s="23">
        <f>F330 * G330 * 55.459322</f>
        <v>95566.172646671999</v>
      </c>
      <c r="M330" s="23">
        <f>F330 * G330 * 48.523924</f>
        <v>83615.261262624001</v>
      </c>
      <c r="N330" s="29">
        <f>SUM(H330:M330)</f>
        <v>1001406.6660648962</v>
      </c>
      <c r="O330" s="33">
        <v>2.0824633919449007</v>
      </c>
    </row>
    <row r="331" spans="2:15" ht="38.25">
      <c r="B331" s="18">
        <v>208</v>
      </c>
      <c r="C331" s="19" t="s">
        <v>806</v>
      </c>
      <c r="D331" s="20" t="s">
        <v>807</v>
      </c>
      <c r="E331" s="20" t="s">
        <v>808</v>
      </c>
      <c r="F331" s="21">
        <v>56.691000000000003</v>
      </c>
      <c r="G331" s="22">
        <v>104</v>
      </c>
      <c r="H331" s="23">
        <f>F331 * G331 * 211.856354</f>
        <v>1249076.2507198562</v>
      </c>
      <c r="I331" s="23">
        <f>F331 * G331 * 3.563352</f>
        <v>21009.038776128004</v>
      </c>
      <c r="J331" s="23">
        <f>F331 * G331 * 0</f>
        <v>0</v>
      </c>
      <c r="K331" s="23">
        <f>F331 * G331 * 201.687248999999</f>
        <v>1189120.5906381302</v>
      </c>
      <c r="L331" s="23">
        <f>F331 * G331 * 48.474953</f>
        <v>285801.73029439204</v>
      </c>
      <c r="M331" s="23">
        <f>F331 * G331 * 42.371271</f>
        <v>249815.25132314401</v>
      </c>
      <c r="N331" s="29">
        <f>SUM(H331:M331)</f>
        <v>2994822.8617516505</v>
      </c>
      <c r="O331" s="33">
        <v>6.2278484718548031</v>
      </c>
    </row>
    <row r="332" spans="2:15" ht="25.5">
      <c r="B332" s="18">
        <v>209</v>
      </c>
      <c r="C332" s="19" t="s">
        <v>809</v>
      </c>
      <c r="D332" s="20" t="s">
        <v>810</v>
      </c>
      <c r="E332" s="20" t="s">
        <v>811</v>
      </c>
      <c r="F332" s="21">
        <v>0.21</v>
      </c>
      <c r="G332" s="22">
        <v>247</v>
      </c>
      <c r="H332" s="23">
        <f>F332 * G332 * 205.088436</f>
        <v>10637.937175319999</v>
      </c>
      <c r="I332" s="23">
        <f>F332 * G332 * 3.563352</f>
        <v>184.83106824000001</v>
      </c>
      <c r="J332" s="23">
        <f>F332 * G332 * 0</f>
        <v>0</v>
      </c>
      <c r="K332" s="23">
        <f>F332 * G332 * 195.244191</f>
        <v>10127.316187169999</v>
      </c>
      <c r="L332" s="23">
        <f>F332 * G332 * 46.9383909999999</f>
        <v>2434.6943411699949</v>
      </c>
      <c r="M332" s="23">
        <f>F332 * G332 * 41.017687</f>
        <v>2127.5874246899998</v>
      </c>
      <c r="N332" s="29">
        <f>SUM(H332:M332)</f>
        <v>25512.366196589992</v>
      </c>
      <c r="O332" s="33">
        <v>5.3053939470029676E-2</v>
      </c>
    </row>
    <row r="333" spans="2:15" s="15" customFormat="1" ht="12.75">
      <c r="B333" s="16"/>
      <c r="C333" s="17" t="s">
        <v>812</v>
      </c>
      <c r="D333" s="53" t="s">
        <v>813</v>
      </c>
      <c r="E333" s="53"/>
      <c r="F333" s="53"/>
      <c r="G333" s="53"/>
      <c r="H333" s="53"/>
      <c r="I333" s="53"/>
      <c r="J333" s="53"/>
      <c r="K333" s="53"/>
      <c r="L333" s="53"/>
      <c r="M333" s="53"/>
      <c r="N333" s="54"/>
      <c r="O333" s="36"/>
    </row>
    <row r="334" spans="2:15" ht="25.5">
      <c r="B334" s="18">
        <v>210</v>
      </c>
      <c r="C334" s="19" t="s">
        <v>814</v>
      </c>
      <c r="D334" s="20" t="s">
        <v>815</v>
      </c>
      <c r="E334" s="20" t="s">
        <v>805</v>
      </c>
      <c r="F334" s="21">
        <v>16.568999999999999</v>
      </c>
      <c r="G334" s="22">
        <v>24</v>
      </c>
      <c r="H334" s="23">
        <f>F334 * G334 * 311.119157</f>
        <v>123718.39949599198</v>
      </c>
      <c r="I334" s="23">
        <f>F334 * G334 * 93.32508</f>
        <v>37111.278012479997</v>
      </c>
      <c r="J334" s="23">
        <f>F334 * G334 * 0</f>
        <v>0</v>
      </c>
      <c r="K334" s="23">
        <f>F334 * G334 * 296.185437</f>
        <v>117779.91613567197</v>
      </c>
      <c r="L334" s="23">
        <f>F334 * G334 * 80.481045</f>
        <v>32003.770430519995</v>
      </c>
      <c r="M334" s="23">
        <f>F334 * G334 * 62.223831</f>
        <v>24743.679740135995</v>
      </c>
      <c r="N334" s="29">
        <f>SUM(H334:M334)</f>
        <v>335357.04381479998</v>
      </c>
      <c r="O334" s="33">
        <v>0.69738777525765483</v>
      </c>
    </row>
    <row r="335" spans="2:15" ht="25.5">
      <c r="B335" s="18">
        <v>211</v>
      </c>
      <c r="C335" s="19" t="s">
        <v>816</v>
      </c>
      <c r="D335" s="20" t="s">
        <v>817</v>
      </c>
      <c r="E335" s="20" t="s">
        <v>805</v>
      </c>
      <c r="F335" s="21">
        <v>56.691000000000003</v>
      </c>
      <c r="G335" s="22">
        <v>24</v>
      </c>
      <c r="H335" s="23">
        <f>F335 * G335 * 266.614967</f>
        <v>362752.05826072796</v>
      </c>
      <c r="I335" s="23">
        <f>F335 * G335 * 93.32508</f>
        <v>126976.61064672</v>
      </c>
      <c r="J335" s="23">
        <f>F335 * G335 * 0</f>
        <v>0</v>
      </c>
      <c r="K335" s="23">
        <f>F335 * G335 * 253.817449</f>
        <v>345339.96003021603</v>
      </c>
      <c r="L335" s="23">
        <f>F335 * G335 * 70.376991</f>
        <v>95753.807922744003</v>
      </c>
      <c r="M335" s="23">
        <f>F335 * G335 * 53.322993</f>
        <v>72550.411107912005</v>
      </c>
      <c r="N335" s="29">
        <f>SUM(H335:M335)</f>
        <v>1003372.8479683199</v>
      </c>
      <c r="O335" s="33">
        <v>2.0865521422743494</v>
      </c>
    </row>
    <row r="336" spans="2:15">
      <c r="B336" s="18">
        <v>212</v>
      </c>
      <c r="C336" s="19" t="s">
        <v>818</v>
      </c>
      <c r="D336" s="20" t="s">
        <v>819</v>
      </c>
      <c r="E336" s="20" t="s">
        <v>811</v>
      </c>
      <c r="F336" s="21">
        <v>1.883</v>
      </c>
      <c r="G336" s="22">
        <v>24</v>
      </c>
      <c r="H336" s="23">
        <f>F336 * G336 * 362.391266</f>
        <v>16377.186093071999</v>
      </c>
      <c r="I336" s="23">
        <f>F336 * G336 * 126.812016</f>
        <v>5730.8886270720004</v>
      </c>
      <c r="J336" s="23">
        <f>F336 * G336 * 0</f>
        <v>0</v>
      </c>
      <c r="K336" s="23">
        <f>F336 * G336 * 344.996485</f>
        <v>15591.081150120001</v>
      </c>
      <c r="L336" s="23">
        <f>F336 * G336 * 95.6545309999999</f>
        <v>4322.8195649519957</v>
      </c>
      <c r="M336" s="23">
        <f>F336 * G336 * 72.478253</f>
        <v>3275.437209576</v>
      </c>
      <c r="N336" s="29">
        <f>SUM(H336:M336)</f>
        <v>45297.412644791999</v>
      </c>
      <c r="O336" s="33">
        <v>9.4197698876200928E-2</v>
      </c>
    </row>
    <row r="337" spans="2:15" s="15" customFormat="1" ht="12.75">
      <c r="B337" s="16"/>
      <c r="C337" s="17" t="s">
        <v>820</v>
      </c>
      <c r="D337" s="49" t="s">
        <v>821</v>
      </c>
      <c r="E337" s="49"/>
      <c r="F337" s="49"/>
      <c r="G337" s="49"/>
      <c r="H337" s="49"/>
      <c r="I337" s="49"/>
      <c r="J337" s="49"/>
      <c r="K337" s="49"/>
      <c r="L337" s="49"/>
      <c r="M337" s="49"/>
      <c r="N337" s="50"/>
      <c r="O337" s="32"/>
    </row>
    <row r="338" spans="2:15" s="15" customFormat="1" ht="12.75">
      <c r="B338" s="16"/>
      <c r="C338" s="17" t="s">
        <v>822</v>
      </c>
      <c r="D338" s="51" t="s">
        <v>823</v>
      </c>
      <c r="E338" s="51"/>
      <c r="F338" s="51"/>
      <c r="G338" s="51"/>
      <c r="H338" s="51"/>
      <c r="I338" s="51"/>
      <c r="J338" s="51"/>
      <c r="K338" s="51"/>
      <c r="L338" s="51"/>
      <c r="M338" s="51"/>
      <c r="N338" s="52"/>
      <c r="O338" s="35"/>
    </row>
    <row r="339" spans="2:15" ht="25.5">
      <c r="B339" s="18">
        <v>213</v>
      </c>
      <c r="C339" s="19" t="s">
        <v>824</v>
      </c>
      <c r="D339" s="20" t="s">
        <v>825</v>
      </c>
      <c r="E339" s="20" t="s">
        <v>826</v>
      </c>
      <c r="F339" s="21">
        <v>0.14000000000000001</v>
      </c>
      <c r="G339" s="22">
        <v>12</v>
      </c>
      <c r="H339" s="23">
        <f>F339 * G339 * 2617.94916</f>
        <v>4398.154588800001</v>
      </c>
      <c r="I339" s="23">
        <f>F339 * G339 * 505.441685</f>
        <v>849.14203080000004</v>
      </c>
      <c r="J339" s="23">
        <f>F339 * G339 * 0</f>
        <v>0</v>
      </c>
      <c r="K339" s="23">
        <f>F339 * G339 * 2492.2876</f>
        <v>4187.0431680000002</v>
      </c>
      <c r="L339" s="23">
        <f>F339 * G339 * 647.692802999999</f>
        <v>1088.1239090399984</v>
      </c>
      <c r="M339" s="23">
        <f>F339 * G339 * 523.589832</f>
        <v>879.6309177600001</v>
      </c>
      <c r="N339" s="29">
        <f>SUM(H339:M339)</f>
        <v>11402.094614399999</v>
      </c>
      <c r="O339" s="33">
        <v>2.371109103885409E-2</v>
      </c>
    </row>
    <row r="340" spans="2:15" s="15" customFormat="1" ht="12.75">
      <c r="B340" s="16"/>
      <c r="C340" s="17" t="s">
        <v>827</v>
      </c>
      <c r="D340" s="51" t="s">
        <v>828</v>
      </c>
      <c r="E340" s="51"/>
      <c r="F340" s="51"/>
      <c r="G340" s="51"/>
      <c r="H340" s="51"/>
      <c r="I340" s="51"/>
      <c r="J340" s="51"/>
      <c r="K340" s="51"/>
      <c r="L340" s="51"/>
      <c r="M340" s="51"/>
      <c r="N340" s="52"/>
      <c r="O340" s="35"/>
    </row>
    <row r="341" spans="2:15">
      <c r="B341" s="18">
        <v>214</v>
      </c>
      <c r="C341" s="19" t="s">
        <v>829</v>
      </c>
      <c r="D341" s="20" t="s">
        <v>830</v>
      </c>
      <c r="E341" s="20" t="s">
        <v>831</v>
      </c>
      <c r="F341" s="21">
        <v>1.4</v>
      </c>
      <c r="G341" s="22">
        <v>12</v>
      </c>
      <c r="H341" s="23">
        <f>F341 * G341 * 183.029615</f>
        <v>3074.8975319999995</v>
      </c>
      <c r="I341" s="23">
        <f>F341 * G341 * 1218.144684</f>
        <v>20464.830691199997</v>
      </c>
      <c r="J341" s="23">
        <f>F341 * G341 * 0</f>
        <v>0</v>
      </c>
      <c r="K341" s="23">
        <f>F341 * G341 * 174.244194</f>
        <v>2927.3024591999992</v>
      </c>
      <c r="L341" s="23">
        <f>F341 * G341 * 170.068576</f>
        <v>2857.1520767999996</v>
      </c>
      <c r="M341" s="23">
        <f>F341 * G341 * 36.605923</f>
        <v>614.97950639999988</v>
      </c>
      <c r="N341" s="29">
        <f>SUM(H341:M341)</f>
        <v>29939.162265599996</v>
      </c>
      <c r="O341" s="33">
        <v>6.2259630893619133E-2</v>
      </c>
    </row>
    <row r="342" spans="2:15" s="15" customFormat="1" ht="12.75">
      <c r="B342" s="16"/>
      <c r="C342" s="17" t="s">
        <v>832</v>
      </c>
      <c r="D342" s="49" t="s">
        <v>833</v>
      </c>
      <c r="E342" s="49"/>
      <c r="F342" s="49"/>
      <c r="G342" s="49"/>
      <c r="H342" s="49"/>
      <c r="I342" s="49"/>
      <c r="J342" s="49"/>
      <c r="K342" s="49"/>
      <c r="L342" s="49"/>
      <c r="M342" s="49"/>
      <c r="N342" s="50"/>
      <c r="O342" s="32"/>
    </row>
    <row r="343" spans="2:15" ht="25.5">
      <c r="B343" s="18">
        <v>215</v>
      </c>
      <c r="C343" s="19" t="s">
        <v>834</v>
      </c>
      <c r="D343" s="20" t="s">
        <v>835</v>
      </c>
      <c r="E343" s="20" t="s">
        <v>39</v>
      </c>
      <c r="F343" s="21">
        <v>3.7800000000000002</v>
      </c>
      <c r="G343" s="22">
        <v>2</v>
      </c>
      <c r="H343" s="23">
        <f>F343 * G343 * 184.579592</f>
        <v>1395.4217155200001</v>
      </c>
      <c r="I343" s="23">
        <f>F343 * G343 * 11.441322</f>
        <v>86.496394320000007</v>
      </c>
      <c r="J343" s="23">
        <f>F343 * G343 * 0</f>
        <v>0</v>
      </c>
      <c r="K343" s="23">
        <f>F343 * G343 * 175.719772</f>
        <v>1328.4414763200002</v>
      </c>
      <c r="L343" s="23">
        <f>F343 * G343 * 43.113272</f>
        <v>325.93633632000001</v>
      </c>
      <c r="M343" s="23">
        <f>F343 * G343 * 36.915918</f>
        <v>279.08434008</v>
      </c>
      <c r="N343" s="29">
        <f>SUM(H343:M343)</f>
        <v>3415.3802625600006</v>
      </c>
      <c r="O343" s="33">
        <v>7.1024136421031633E-3</v>
      </c>
    </row>
    <row r="344" spans="2:15" ht="25.5">
      <c r="B344" s="18">
        <v>216</v>
      </c>
      <c r="C344" s="19" t="s">
        <v>836</v>
      </c>
      <c r="D344" s="20" t="s">
        <v>837</v>
      </c>
      <c r="E344" s="20" t="s">
        <v>838</v>
      </c>
      <c r="F344" s="21">
        <v>1.722</v>
      </c>
      <c r="G344" s="22">
        <v>2</v>
      </c>
      <c r="H344" s="23">
        <f>F344 * G344 * 464.935484</f>
        <v>1601.2378068959999</v>
      </c>
      <c r="I344" s="23">
        <f>F344 * G344 * 77.736402</f>
        <v>267.72416848799998</v>
      </c>
      <c r="J344" s="23">
        <f>F344 * G344 * 0</f>
        <v>0</v>
      </c>
      <c r="K344" s="23">
        <f>F344 * G344 * 442.618580999999</f>
        <v>1524.3783929639965</v>
      </c>
      <c r="L344" s="23">
        <f>F344 * G344 * 113.758283</f>
        <v>391.78352665200003</v>
      </c>
      <c r="M344" s="23">
        <f>F344 * G344 * 92.987097</f>
        <v>320.24756206800004</v>
      </c>
      <c r="N344" s="29">
        <f>SUM(H344:M344)</f>
        <v>4105.3714570679967</v>
      </c>
      <c r="O344" s="33">
        <v>8.5372766722980487E-3</v>
      </c>
    </row>
    <row r="345" spans="2:15" s="15" customFormat="1" ht="12.75">
      <c r="B345" s="16"/>
      <c r="C345" s="17" t="s">
        <v>839</v>
      </c>
      <c r="D345" s="49" t="s">
        <v>840</v>
      </c>
      <c r="E345" s="49"/>
      <c r="F345" s="49"/>
      <c r="G345" s="49"/>
      <c r="H345" s="49"/>
      <c r="I345" s="49"/>
      <c r="J345" s="49"/>
      <c r="K345" s="49"/>
      <c r="L345" s="49"/>
      <c r="M345" s="49"/>
      <c r="N345" s="50"/>
      <c r="O345" s="32"/>
    </row>
    <row r="346" spans="2:15" ht="25.5">
      <c r="B346" s="18">
        <v>217</v>
      </c>
      <c r="C346" s="19" t="s">
        <v>841</v>
      </c>
      <c r="D346" s="20" t="s">
        <v>842</v>
      </c>
      <c r="E346" s="20" t="s">
        <v>843</v>
      </c>
      <c r="F346" s="21">
        <v>0.84</v>
      </c>
      <c r="G346" s="22">
        <v>2</v>
      </c>
      <c r="H346" s="23">
        <f>F346 * G346 * 468.216899</f>
        <v>786.60439031999999</v>
      </c>
      <c r="I346" s="23">
        <f>F346 * G346 * 77.824386</f>
        <v>130.74496848000001</v>
      </c>
      <c r="J346" s="23">
        <f>F346 * G346 * 0</f>
        <v>0</v>
      </c>
      <c r="K346" s="23">
        <f>F346 * G346 * 445.742487</f>
        <v>748.84737815999995</v>
      </c>
      <c r="L346" s="23">
        <f>F346 * G346 * 114.512565</f>
        <v>192.3811092</v>
      </c>
      <c r="M346" s="23">
        <f>F346 * G346 * 93.64338</f>
        <v>157.32087839999997</v>
      </c>
      <c r="N346" s="29">
        <f>SUM(H346:M346)</f>
        <v>2015.8987245600001</v>
      </c>
      <c r="O346" s="33">
        <v>4.1921383569984783E-3</v>
      </c>
    </row>
    <row r="347" spans="2:15" ht="25.5">
      <c r="B347" s="18">
        <v>218</v>
      </c>
      <c r="C347" s="19" t="s">
        <v>844</v>
      </c>
      <c r="D347" s="20" t="s">
        <v>845</v>
      </c>
      <c r="E347" s="20" t="s">
        <v>846</v>
      </c>
      <c r="F347" s="21">
        <v>5.25</v>
      </c>
      <c r="G347" s="22">
        <v>2</v>
      </c>
      <c r="H347" s="23">
        <f>F347 * G347 * 447.708056</f>
        <v>4700.9345880000001</v>
      </c>
      <c r="I347" s="23">
        <f>F347 * G347 * 77.824386</f>
        <v>817.15605300000004</v>
      </c>
      <c r="J347" s="23">
        <f>F347 * G347 * 0</f>
        <v>0</v>
      </c>
      <c r="K347" s="23">
        <f>F347 * G347 * 426.218069</f>
        <v>4475.2897245000004</v>
      </c>
      <c r="L347" s="23">
        <f>F347 * G347 * 109.856319</f>
        <v>1153.4913495000001</v>
      </c>
      <c r="M347" s="23">
        <f>F347 * G347 * 89.541611</f>
        <v>940.18691550000005</v>
      </c>
      <c r="N347" s="29">
        <f>SUM(H347:M347)</f>
        <v>12087.058630500002</v>
      </c>
      <c r="O347" s="33">
        <v>2.5135499859631177E-2</v>
      </c>
    </row>
    <row r="348" spans="2:15" ht="25.5">
      <c r="B348" s="18">
        <v>219</v>
      </c>
      <c r="C348" s="19" t="s">
        <v>847</v>
      </c>
      <c r="D348" s="20" t="s">
        <v>848</v>
      </c>
      <c r="E348" s="20" t="s">
        <v>849</v>
      </c>
      <c r="F348" s="21">
        <v>5.25</v>
      </c>
      <c r="G348" s="22">
        <v>2</v>
      </c>
      <c r="H348" s="23">
        <f>F348 * G348 * 687.046261</f>
        <v>7213.9857404999993</v>
      </c>
      <c r="I348" s="23">
        <f>F348 * G348 * 199.057912</f>
        <v>2090.108076</v>
      </c>
      <c r="J348" s="23">
        <f>F348 * G348 * 0</f>
        <v>0</v>
      </c>
      <c r="K348" s="23">
        <f>F348 * G348 * 654.068041</f>
        <v>6867.7144305000002</v>
      </c>
      <c r="L348" s="23">
        <f>F348 * G348 * 176.984844</f>
        <v>1858.340862</v>
      </c>
      <c r="M348" s="23">
        <f>F348 * G348 * 137.409252</f>
        <v>1442.7971460000001</v>
      </c>
      <c r="N348" s="29">
        <f>SUM(H348:M348)</f>
        <v>19472.946254999999</v>
      </c>
      <c r="O348" s="33">
        <v>4.0494735139620187E-2</v>
      </c>
    </row>
    <row r="349" spans="2:15" s="15" customFormat="1" ht="12.75">
      <c r="B349" s="16"/>
      <c r="C349" s="17" t="s">
        <v>850</v>
      </c>
      <c r="D349" s="49" t="s">
        <v>851</v>
      </c>
      <c r="E349" s="49"/>
      <c r="F349" s="49"/>
      <c r="G349" s="49"/>
      <c r="H349" s="49"/>
      <c r="I349" s="49"/>
      <c r="J349" s="49"/>
      <c r="K349" s="49"/>
      <c r="L349" s="49"/>
      <c r="M349" s="49"/>
      <c r="N349" s="50"/>
      <c r="O349" s="32"/>
    </row>
    <row r="350" spans="2:15" s="15" customFormat="1" ht="12.75">
      <c r="B350" s="16"/>
      <c r="C350" s="17" t="s">
        <v>852</v>
      </c>
      <c r="D350" s="51" t="s">
        <v>853</v>
      </c>
      <c r="E350" s="51"/>
      <c r="F350" s="51"/>
      <c r="G350" s="51"/>
      <c r="H350" s="51"/>
      <c r="I350" s="51"/>
      <c r="J350" s="51"/>
      <c r="K350" s="51"/>
      <c r="L350" s="51"/>
      <c r="M350" s="51"/>
      <c r="N350" s="52"/>
      <c r="O350" s="35"/>
    </row>
    <row r="351" spans="2:15">
      <c r="B351" s="18">
        <v>220</v>
      </c>
      <c r="C351" s="19" t="s">
        <v>854</v>
      </c>
      <c r="D351" s="20" t="s">
        <v>855</v>
      </c>
      <c r="E351" s="20" t="s">
        <v>856</v>
      </c>
      <c r="F351" s="21">
        <v>14</v>
      </c>
      <c r="G351" s="22">
        <v>1</v>
      </c>
      <c r="H351" s="23">
        <f>F351 * G351 * 88.840152</f>
        <v>1243.7621280000001</v>
      </c>
      <c r="I351" s="23">
        <f>F351 * G351 * 65.693592</f>
        <v>919.71028799999999</v>
      </c>
      <c r="J351" s="23">
        <f>F351 * G351 * 0</f>
        <v>0</v>
      </c>
      <c r="K351" s="23">
        <f>F351 * G351 * 84.575825</f>
        <v>1184.0615499999999</v>
      </c>
      <c r="L351" s="23">
        <f>F351 * G351 * 27.100587</f>
        <v>379.40821800000003</v>
      </c>
      <c r="M351" s="23">
        <f>F351 * G351 * 17.76803</f>
        <v>248.75242</v>
      </c>
      <c r="N351" s="29">
        <f>SUM(H351:M351)</f>
        <v>3975.6946039999998</v>
      </c>
      <c r="O351" s="33">
        <v>8.2676087057786205E-3</v>
      </c>
    </row>
    <row r="352" spans="2:15" ht="25.5">
      <c r="B352" s="18">
        <v>221</v>
      </c>
      <c r="C352" s="19" t="s">
        <v>857</v>
      </c>
      <c r="D352" s="20" t="s">
        <v>858</v>
      </c>
      <c r="E352" s="20" t="s">
        <v>859</v>
      </c>
      <c r="F352" s="21">
        <v>35</v>
      </c>
      <c r="G352" s="22">
        <v>1</v>
      </c>
      <c r="H352" s="23">
        <f>F352 * G352 * 4051.110931</f>
        <v>141788.88258500001</v>
      </c>
      <c r="I352" s="23">
        <f>F352 * G352 * 0.71267</f>
        <v>24.943450000000002</v>
      </c>
      <c r="J352" s="23">
        <f>F352 * G352 * 0</f>
        <v>0</v>
      </c>
      <c r="K352" s="23">
        <f>F352 * G352 * 3856.65760599999</f>
        <v>134983.01620999965</v>
      </c>
      <c r="L352" s="23">
        <f>F352 * G352 * 919.823208</f>
        <v>32193.812280000002</v>
      </c>
      <c r="M352" s="23">
        <f>F352 * G352 * 810.222186</f>
        <v>28357.77651</v>
      </c>
      <c r="N352" s="29">
        <f>SUM(H352:M352)</f>
        <v>337348.43103499967</v>
      </c>
      <c r="O352" s="33">
        <v>0.70152894100558072</v>
      </c>
    </row>
    <row r="353" spans="2:15" s="15" customFormat="1" ht="12.75">
      <c r="B353" s="16"/>
      <c r="C353" s="17" t="s">
        <v>860</v>
      </c>
      <c r="D353" s="49" t="s">
        <v>861</v>
      </c>
      <c r="E353" s="49"/>
      <c r="F353" s="49"/>
      <c r="G353" s="49"/>
      <c r="H353" s="49"/>
      <c r="I353" s="49"/>
      <c r="J353" s="49"/>
      <c r="K353" s="49"/>
      <c r="L353" s="49"/>
      <c r="M353" s="49"/>
      <c r="N353" s="50"/>
      <c r="O353" s="32"/>
    </row>
    <row r="354" spans="2:15" ht="25.5">
      <c r="B354" s="18">
        <v>222</v>
      </c>
      <c r="C354" s="19" t="s">
        <v>862</v>
      </c>
      <c r="D354" s="20" t="s">
        <v>863</v>
      </c>
      <c r="E354" s="20" t="s">
        <v>864</v>
      </c>
      <c r="F354" s="21">
        <v>0.74199999999999999</v>
      </c>
      <c r="G354" s="22">
        <v>2</v>
      </c>
      <c r="H354" s="23">
        <f>F354 * G354 * 218.829361</f>
        <v>324.74277172400002</v>
      </c>
      <c r="I354" s="23">
        <f t="shared" ref="I354:I359" si="22">F354 * G354 * 55.588968</f>
        <v>82.494028512</v>
      </c>
      <c r="J354" s="23">
        <f t="shared" ref="J354:J360" si="23">F354 * G354 * 0</f>
        <v>0</v>
      </c>
      <c r="K354" s="23">
        <f>F354 * G354 * 208.325552</f>
        <v>309.155119168</v>
      </c>
      <c r="L354" s="23">
        <f>F354 * G354 * 55.546779</f>
        <v>82.431420036000006</v>
      </c>
      <c r="M354" s="23">
        <f>F354 * G354 * 43.765872</f>
        <v>64.948554048000005</v>
      </c>
      <c r="N354" s="29">
        <f t="shared" ref="N354:N360" si="24">SUM(H354:M354)</f>
        <v>863.77189348799993</v>
      </c>
      <c r="O354" s="33">
        <v>1.7962466280038926E-3</v>
      </c>
    </row>
    <row r="355" spans="2:15" ht="25.5">
      <c r="B355" s="18">
        <v>223</v>
      </c>
      <c r="C355" s="19" t="s">
        <v>865</v>
      </c>
      <c r="D355" s="20" t="s">
        <v>866</v>
      </c>
      <c r="E355" s="20" t="s">
        <v>867</v>
      </c>
      <c r="F355" s="21">
        <v>1.722</v>
      </c>
      <c r="G355" s="22">
        <v>2</v>
      </c>
      <c r="H355" s="23">
        <f>F355 * G355 * 447.708056</f>
        <v>1541.9065448639999</v>
      </c>
      <c r="I355" s="23">
        <f t="shared" si="22"/>
        <v>191.44840579199999</v>
      </c>
      <c r="J355" s="23">
        <f t="shared" si="23"/>
        <v>0</v>
      </c>
      <c r="K355" s="23">
        <f>F355 * G355 * 426.218069</f>
        <v>1467.8950296360001</v>
      </c>
      <c r="L355" s="23">
        <f>F355 * G355 * 107.510483</f>
        <v>370.26610345199998</v>
      </c>
      <c r="M355" s="23">
        <f>F355 * G355 * 89.541611</f>
        <v>308.381308284</v>
      </c>
      <c r="N355" s="29">
        <f t="shared" si="24"/>
        <v>3879.8973920280005</v>
      </c>
      <c r="O355" s="33">
        <v>8.0683947463129797E-3</v>
      </c>
    </row>
    <row r="356" spans="2:15" ht="51">
      <c r="B356" s="18">
        <v>224</v>
      </c>
      <c r="C356" s="19" t="s">
        <v>868</v>
      </c>
      <c r="D356" s="20" t="s">
        <v>869</v>
      </c>
      <c r="E356" s="20" t="s">
        <v>870</v>
      </c>
      <c r="F356" s="21">
        <v>1.869</v>
      </c>
      <c r="G356" s="22">
        <v>2</v>
      </c>
      <c r="H356" s="23">
        <f>F356 * G356 * 276.869389</f>
        <v>1034.937776082</v>
      </c>
      <c r="I356" s="23">
        <f t="shared" si="22"/>
        <v>207.791562384</v>
      </c>
      <c r="J356" s="23">
        <f t="shared" si="23"/>
        <v>0</v>
      </c>
      <c r="K356" s="23">
        <f>F356 * G356 * 263.579658</f>
        <v>985.26076160399998</v>
      </c>
      <c r="L356" s="23">
        <f>F356 * G356 * 68.7239539999999</f>
        <v>256.89014005199965</v>
      </c>
      <c r="M356" s="23">
        <f>F356 * G356 * 55.373878</f>
        <v>206.98755596399999</v>
      </c>
      <c r="N356" s="29">
        <f t="shared" si="24"/>
        <v>2691.867796086</v>
      </c>
      <c r="O356" s="33">
        <v>5.5978418471414673E-3</v>
      </c>
    </row>
    <row r="357" spans="2:15" ht="25.5">
      <c r="B357" s="18">
        <v>225</v>
      </c>
      <c r="C357" s="19" t="s">
        <v>871</v>
      </c>
      <c r="D357" s="20" t="s">
        <v>872</v>
      </c>
      <c r="E357" s="20" t="s">
        <v>873</v>
      </c>
      <c r="F357" s="21">
        <v>2.2679999999999998</v>
      </c>
      <c r="G357" s="22">
        <v>2</v>
      </c>
      <c r="H357" s="23">
        <f>F357 * G357 * 372.645688</f>
        <v>1690.3208407679999</v>
      </c>
      <c r="I357" s="23">
        <f t="shared" si="22"/>
        <v>252.15155884799998</v>
      </c>
      <c r="J357" s="23">
        <f t="shared" si="23"/>
        <v>0</v>
      </c>
      <c r="K357" s="23">
        <f>F357 * G357 * 354.758695</f>
        <v>1609.1854405199997</v>
      </c>
      <c r="L357" s="23">
        <f>F357 * G357 * 90.468622</f>
        <v>410.36566939199997</v>
      </c>
      <c r="M357" s="23">
        <f>F357 * G357 * 74.529138</f>
        <v>338.06416996799999</v>
      </c>
      <c r="N357" s="29">
        <f t="shared" si="24"/>
        <v>4300.0876794959995</v>
      </c>
      <c r="O357" s="33">
        <v>8.9421964903551015E-3</v>
      </c>
    </row>
    <row r="358" spans="2:15">
      <c r="B358" s="18">
        <v>226</v>
      </c>
      <c r="C358" s="19" t="s">
        <v>874</v>
      </c>
      <c r="D358" s="20" t="s">
        <v>875</v>
      </c>
      <c r="E358" s="20" t="s">
        <v>876</v>
      </c>
      <c r="F358" s="21">
        <v>0.84</v>
      </c>
      <c r="G358" s="22">
        <v>2</v>
      </c>
      <c r="H358" s="23">
        <f>F358 * G358 * 311.119157</f>
        <v>522.68018375999998</v>
      </c>
      <c r="I358" s="23">
        <f t="shared" si="22"/>
        <v>93.389466240000004</v>
      </c>
      <c r="J358" s="23">
        <f t="shared" si="23"/>
        <v>0</v>
      </c>
      <c r="K358" s="23">
        <f>F358 * G358 * 296.185437</f>
        <v>497.59153415999992</v>
      </c>
      <c r="L358" s="23">
        <f>F358 * G358 * 76.4998849999999</f>
        <v>128.51980679999983</v>
      </c>
      <c r="M358" s="23">
        <f>F358 * G358 * 62.223831</f>
        <v>104.53603607999999</v>
      </c>
      <c r="N358" s="29">
        <f t="shared" si="24"/>
        <v>1346.7170270399997</v>
      </c>
      <c r="O358" s="33">
        <v>2.800549470216854E-3</v>
      </c>
    </row>
    <row r="359" spans="2:15" ht="38.25">
      <c r="B359" s="18">
        <v>227</v>
      </c>
      <c r="C359" s="19" t="s">
        <v>877</v>
      </c>
      <c r="D359" s="20" t="s">
        <v>878</v>
      </c>
      <c r="E359" s="20" t="s">
        <v>879</v>
      </c>
      <c r="F359" s="21">
        <v>0.23100000000000001</v>
      </c>
      <c r="G359" s="22">
        <v>2</v>
      </c>
      <c r="H359" s="23">
        <f>F359 * G359 * 584.502043</f>
        <v>270.03994386599999</v>
      </c>
      <c r="I359" s="23">
        <f t="shared" si="22"/>
        <v>25.682103216000002</v>
      </c>
      <c r="J359" s="23">
        <f t="shared" si="23"/>
        <v>0</v>
      </c>
      <c r="K359" s="23">
        <f>F359 * G359 * 556.445945</f>
        <v>257.07802659000004</v>
      </c>
      <c r="L359" s="23">
        <f>F359 * G359 * 138.567641999999</f>
        <v>64.018250603999547</v>
      </c>
      <c r="M359" s="23">
        <f>F359 * G359 * 116.900409</f>
        <v>54.007988957999999</v>
      </c>
      <c r="N359" s="29">
        <f t="shared" si="24"/>
        <v>670.8263132339996</v>
      </c>
      <c r="O359" s="33">
        <v>1.3950089279440015E-3</v>
      </c>
    </row>
    <row r="360" spans="2:15" ht="25.5">
      <c r="B360" s="18">
        <v>228</v>
      </c>
      <c r="C360" s="19" t="s">
        <v>880</v>
      </c>
      <c r="D360" s="20" t="s">
        <v>881</v>
      </c>
      <c r="E360" s="20" t="s">
        <v>882</v>
      </c>
      <c r="F360" s="21">
        <v>1.1200000000000001</v>
      </c>
      <c r="G360" s="22">
        <v>2</v>
      </c>
      <c r="H360" s="23">
        <f>F360 * G360 * 635.774152</f>
        <v>1424.1341004800001</v>
      </c>
      <c r="I360" s="23">
        <f>F360 * G360 * 50.502252</f>
        <v>113.12504448000001</v>
      </c>
      <c r="J360" s="23">
        <f t="shared" si="23"/>
        <v>0</v>
      </c>
      <c r="K360" s="23">
        <f>F360 * G360 * 605.256993</f>
        <v>1355.77566432</v>
      </c>
      <c r="L360" s="23">
        <f>F360 * G360 * 149.671608</f>
        <v>335.26440192000001</v>
      </c>
      <c r="M360" s="23">
        <f>F360 * G360 * 127.15483</f>
        <v>284.82681920000005</v>
      </c>
      <c r="N360" s="29">
        <f t="shared" si="24"/>
        <v>3513.1260304000007</v>
      </c>
      <c r="O360" s="33">
        <v>7.305679697884696E-3</v>
      </c>
    </row>
    <row r="361" spans="2:15" s="12" customFormat="1" ht="15">
      <c r="B361" s="13"/>
      <c r="C361" s="14" t="s">
        <v>883</v>
      </c>
      <c r="D361" s="47" t="s">
        <v>884</v>
      </c>
      <c r="E361" s="47"/>
      <c r="F361" s="47"/>
      <c r="G361" s="47"/>
      <c r="H361" s="47"/>
      <c r="I361" s="47"/>
      <c r="J361" s="47"/>
      <c r="K361" s="47"/>
      <c r="L361" s="47"/>
      <c r="M361" s="47"/>
      <c r="N361" s="48"/>
      <c r="O361" s="34"/>
    </row>
    <row r="362" spans="2:15" s="15" customFormat="1" ht="12.75">
      <c r="B362" s="16"/>
      <c r="C362" s="17" t="s">
        <v>885</v>
      </c>
      <c r="D362" s="49" t="s">
        <v>886</v>
      </c>
      <c r="E362" s="49"/>
      <c r="F362" s="49"/>
      <c r="G362" s="49"/>
      <c r="H362" s="49"/>
      <c r="I362" s="49"/>
      <c r="J362" s="49"/>
      <c r="K362" s="49"/>
      <c r="L362" s="49"/>
      <c r="M362" s="49"/>
      <c r="N362" s="50"/>
      <c r="O362" s="32"/>
    </row>
    <row r="363" spans="2:15" ht="25.5">
      <c r="B363" s="18">
        <v>229</v>
      </c>
      <c r="C363" s="19" t="s">
        <v>887</v>
      </c>
      <c r="D363" s="20" t="s">
        <v>888</v>
      </c>
      <c r="E363" s="20" t="s">
        <v>889</v>
      </c>
      <c r="F363" s="21">
        <v>9.3290000000000006</v>
      </c>
      <c r="G363" s="22">
        <v>123.5</v>
      </c>
      <c r="H363" s="23">
        <f>F363 * G363 * 251.398728</f>
        <v>289644.39358873205</v>
      </c>
      <c r="I363" s="23">
        <f>F363 * G363 * 1.51152</f>
        <v>1741.4698048800003</v>
      </c>
      <c r="J363" s="23">
        <f>F363 * G363 * 0</f>
        <v>0</v>
      </c>
      <c r="K363" s="23">
        <f>F363 * G363 * 239.331589</f>
        <v>275741.46263195353</v>
      </c>
      <c r="L363" s="23">
        <f>F363 * G363 * 57.236027</f>
        <v>65943.429641550509</v>
      </c>
      <c r="M363" s="23">
        <f>F363 * G363 * 50.279746</f>
        <v>57928.879178599011</v>
      </c>
      <c r="N363" s="29">
        <f>SUM(H363:M363)</f>
        <v>690999.63484571513</v>
      </c>
      <c r="O363" s="33">
        <v>1.4369601203755547</v>
      </c>
    </row>
    <row r="364" spans="2:15" s="15" customFormat="1" ht="12.75">
      <c r="B364" s="16"/>
      <c r="C364" s="17" t="s">
        <v>890</v>
      </c>
      <c r="D364" s="49" t="s">
        <v>891</v>
      </c>
      <c r="E364" s="49"/>
      <c r="F364" s="49"/>
      <c r="G364" s="49"/>
      <c r="H364" s="49"/>
      <c r="I364" s="49"/>
      <c r="J364" s="49"/>
      <c r="K364" s="49"/>
      <c r="L364" s="49"/>
      <c r="M364" s="49"/>
      <c r="N364" s="50"/>
      <c r="O364" s="32"/>
    </row>
    <row r="365" spans="2:15" s="15" customFormat="1" ht="12.75">
      <c r="B365" s="16"/>
      <c r="C365" s="17" t="s">
        <v>892</v>
      </c>
      <c r="D365" s="51" t="s">
        <v>893</v>
      </c>
      <c r="E365" s="51"/>
      <c r="F365" s="51"/>
      <c r="G365" s="51"/>
      <c r="H365" s="51"/>
      <c r="I365" s="51"/>
      <c r="J365" s="51"/>
      <c r="K365" s="51"/>
      <c r="L365" s="51"/>
      <c r="M365" s="51"/>
      <c r="N365" s="52"/>
      <c r="O365" s="35"/>
    </row>
    <row r="366" spans="2:15" ht="25.5">
      <c r="B366" s="18">
        <v>230</v>
      </c>
      <c r="C366" s="19" t="s">
        <v>894</v>
      </c>
      <c r="D366" s="20" t="s">
        <v>895</v>
      </c>
      <c r="E366" s="20" t="s">
        <v>896</v>
      </c>
      <c r="F366" s="21">
        <v>1.4E-2</v>
      </c>
      <c r="G366" s="22">
        <v>2</v>
      </c>
      <c r="H366" s="23">
        <f>F366 * G366 * 220525.830072</f>
        <v>6174.7232420160008</v>
      </c>
      <c r="I366" s="23">
        <f>F366 * G366 * 1300.330426</f>
        <v>36.409251928000003</v>
      </c>
      <c r="J366" s="23">
        <f>F366 * G366 * 0</f>
        <v>0</v>
      </c>
      <c r="K366" s="23">
        <f>F366 * G366 * 209940.590229</f>
        <v>5878.3365264120002</v>
      </c>
      <c r="L366" s="23">
        <f>F366 * G366 * 50204.487216</f>
        <v>1405.7256420480001</v>
      </c>
      <c r="M366" s="23">
        <f>F366 * G366 * 44105.166014</f>
        <v>1234.9446483920001</v>
      </c>
      <c r="N366" s="29">
        <f>SUM(H366:M366)</f>
        <v>14730.139310796003</v>
      </c>
      <c r="O366" s="33">
        <v>3.0631887036982511E-2</v>
      </c>
    </row>
    <row r="367" spans="2:15">
      <c r="B367" s="18">
        <v>231</v>
      </c>
      <c r="C367" s="19" t="s">
        <v>897</v>
      </c>
      <c r="D367" s="20" t="s">
        <v>898</v>
      </c>
      <c r="E367" s="20" t="s">
        <v>899</v>
      </c>
      <c r="F367" s="21">
        <v>1.4E-2</v>
      </c>
      <c r="G367" s="22">
        <v>80</v>
      </c>
      <c r="H367" s="23">
        <f>F367 * G367 * 24257.141928</f>
        <v>27167.998959360004</v>
      </c>
      <c r="I367" s="23">
        <f>F367 * G367 * 145.10592</f>
        <v>162.51863040000001</v>
      </c>
      <c r="J367" s="23">
        <f>F367 * G367 * 0</f>
        <v>0</v>
      </c>
      <c r="K367" s="23">
        <f>F367 * G367 * 23092.799115</f>
        <v>25863.935008800003</v>
      </c>
      <c r="L367" s="23">
        <f>F367 * G367 * 5522.55315</f>
        <v>6185.2595280000005</v>
      </c>
      <c r="M367" s="23">
        <f>F367 * G367 * 4851.428386</f>
        <v>5433.5997923200002</v>
      </c>
      <c r="N367" s="29">
        <f>SUM(H367:M367)</f>
        <v>64813.311918880005</v>
      </c>
      <c r="O367" s="33">
        <v>0.13478175645879603</v>
      </c>
    </row>
    <row r="368" spans="2:15">
      <c r="B368" s="18">
        <v>232</v>
      </c>
      <c r="C368" s="19" t="s">
        <v>900</v>
      </c>
      <c r="D368" s="20" t="s">
        <v>901</v>
      </c>
      <c r="E368" s="20" t="s">
        <v>902</v>
      </c>
      <c r="F368" s="21">
        <v>14</v>
      </c>
      <c r="G368" s="22">
        <v>2</v>
      </c>
      <c r="H368" s="23">
        <f>F368 * G368 * 200.986667</f>
        <v>5627.6266759999999</v>
      </c>
      <c r="I368" s="23">
        <f>F368 * G368 * 36.27648</f>
        <v>1015.74144</v>
      </c>
      <c r="J368" s="23">
        <f>F368 * G368 * 26.2218</f>
        <v>734.21040000000005</v>
      </c>
      <c r="K368" s="23">
        <f>F368 * G368 * 191.339307</f>
        <v>5357.5005959999999</v>
      </c>
      <c r="L368" s="23">
        <f>F368 * G368 * 52.224778</f>
        <v>1462.293784</v>
      </c>
      <c r="M368" s="23">
        <f>F368 * G368 * 40.197333</f>
        <v>1125.525324</v>
      </c>
      <c r="N368" s="29">
        <f>SUM(H368:M368)</f>
        <v>15322.898219999999</v>
      </c>
      <c r="O368" s="33">
        <v>3.1864551817932275E-2</v>
      </c>
    </row>
    <row r="369" spans="2:15" s="15" customFormat="1" ht="12.75">
      <c r="B369" s="16"/>
      <c r="C369" s="17" t="s">
        <v>903</v>
      </c>
      <c r="D369" s="51" t="s">
        <v>904</v>
      </c>
      <c r="E369" s="51"/>
      <c r="F369" s="51"/>
      <c r="G369" s="51"/>
      <c r="H369" s="51"/>
      <c r="I369" s="51"/>
      <c r="J369" s="51"/>
      <c r="K369" s="51"/>
      <c r="L369" s="51"/>
      <c r="M369" s="51"/>
      <c r="N369" s="52"/>
      <c r="O369" s="35"/>
    </row>
    <row r="370" spans="2:15">
      <c r="B370" s="18">
        <v>233</v>
      </c>
      <c r="C370" s="19" t="s">
        <v>905</v>
      </c>
      <c r="D370" s="20" t="s">
        <v>906</v>
      </c>
      <c r="E370" s="20" t="s">
        <v>907</v>
      </c>
      <c r="F370" s="21">
        <v>0.21</v>
      </c>
      <c r="G370" s="22">
        <v>52</v>
      </c>
      <c r="H370" s="23">
        <f>F370 * G370 * 455.542056</f>
        <v>4974.5192515199997</v>
      </c>
      <c r="I370" s="23">
        <f>F370 * G370 * 604.608</f>
        <v>6602.3193599999995</v>
      </c>
      <c r="J370" s="23">
        <f>F370 * G370 * 0</f>
        <v>0</v>
      </c>
      <c r="K370" s="23">
        <f>F370 * G370 * 433.676036999999</f>
        <v>4735.7423240399885</v>
      </c>
      <c r="L370" s="23">
        <f>F370 * G370 * 167.210591</f>
        <v>1825.93965372</v>
      </c>
      <c r="M370" s="23">
        <f>F370 * G370 * 91.108411</f>
        <v>994.90384812000002</v>
      </c>
      <c r="N370" s="29">
        <f>SUM(H370:M370)</f>
        <v>19133.42443739999</v>
      </c>
      <c r="O370" s="33">
        <v>3.9788686558281113E-2</v>
      </c>
    </row>
    <row r="371" spans="2:15" s="15" customFormat="1" ht="12.75">
      <c r="B371" s="16"/>
      <c r="C371" s="17" t="s">
        <v>908</v>
      </c>
      <c r="D371" s="49" t="s">
        <v>909</v>
      </c>
      <c r="E371" s="49"/>
      <c r="F371" s="49"/>
      <c r="G371" s="49"/>
      <c r="H371" s="49"/>
      <c r="I371" s="49"/>
      <c r="J371" s="49"/>
      <c r="K371" s="49"/>
      <c r="L371" s="49"/>
      <c r="M371" s="49"/>
      <c r="N371" s="50"/>
      <c r="O371" s="32"/>
    </row>
    <row r="372" spans="2:15">
      <c r="B372" s="18">
        <v>234</v>
      </c>
      <c r="C372" s="19" t="s">
        <v>910</v>
      </c>
      <c r="D372" s="20" t="s">
        <v>911</v>
      </c>
      <c r="E372" s="20" t="s">
        <v>912</v>
      </c>
      <c r="F372" s="21">
        <v>7.0000000000000007E-2</v>
      </c>
      <c r="G372" s="22">
        <v>1</v>
      </c>
      <c r="H372" s="23">
        <f>F372 * G372 * 32662.93248</f>
        <v>2286.4052736000003</v>
      </c>
      <c r="I372" s="23">
        <f>F372 * G372 * 0</f>
        <v>0</v>
      </c>
      <c r="J372" s="23">
        <f>F372 * G372 * 427690.9296</f>
        <v>29938.365072000001</v>
      </c>
      <c r="K372" s="23">
        <f>F372 * G372 * 129693.4229</f>
        <v>9078.5396030000011</v>
      </c>
      <c r="L372" s="23">
        <f>F372 * G372 * 65124.496153</f>
        <v>4558.7147307100004</v>
      </c>
      <c r="M372" s="23">
        <f>F372 * G372 * 27246.517416</f>
        <v>1907.2562191200002</v>
      </c>
      <c r="N372" s="29">
        <f>SUM(H372:M372)</f>
        <v>47769.280898429999</v>
      </c>
      <c r="O372" s="33">
        <v>9.9338043276083643E-2</v>
      </c>
    </row>
    <row r="373" spans="2:15">
      <c r="B373" s="18">
        <v>235</v>
      </c>
      <c r="C373" s="19" t="s">
        <v>913</v>
      </c>
      <c r="D373" s="20" t="s">
        <v>914</v>
      </c>
      <c r="E373" s="20" t="s">
        <v>915</v>
      </c>
      <c r="F373" s="21">
        <v>0.35</v>
      </c>
      <c r="G373" s="22">
        <v>1</v>
      </c>
      <c r="H373" s="23">
        <f>F373 * G373 * 8161.196602</f>
        <v>2856.4188107</v>
      </c>
      <c r="I373" s="23">
        <f>F373 * G373 * 0</f>
        <v>0</v>
      </c>
      <c r="J373" s="23">
        <f>F373 * G373 * 0</f>
        <v>0</v>
      </c>
      <c r="K373" s="23">
        <f>F373 * G373 * 7769.459165</f>
        <v>2719.3107077499999</v>
      </c>
      <c r="L373" s="23">
        <f>F373 * G373 * 1852.885431</f>
        <v>648.50990084999989</v>
      </c>
      <c r="M373" s="23">
        <f>F373 * G373 * 1632.23932</f>
        <v>571.28376199999991</v>
      </c>
      <c r="N373" s="29">
        <f>SUM(H373:M373)</f>
        <v>6795.5231813</v>
      </c>
      <c r="O373" s="33">
        <v>1.4131549882506094E-2</v>
      </c>
    </row>
    <row r="374" spans="2:15" s="15" customFormat="1" ht="12.75">
      <c r="B374" s="16"/>
      <c r="C374" s="17" t="s">
        <v>916</v>
      </c>
      <c r="D374" s="49" t="s">
        <v>917</v>
      </c>
      <c r="E374" s="49"/>
      <c r="F374" s="49"/>
      <c r="G374" s="49"/>
      <c r="H374" s="49"/>
      <c r="I374" s="49"/>
      <c r="J374" s="49"/>
      <c r="K374" s="49"/>
      <c r="L374" s="49"/>
      <c r="M374" s="49"/>
      <c r="N374" s="50"/>
      <c r="O374" s="32"/>
    </row>
    <row r="375" spans="2:15">
      <c r="B375" s="18">
        <v>236</v>
      </c>
      <c r="C375" s="19" t="s">
        <v>918</v>
      </c>
      <c r="D375" s="20" t="s">
        <v>919</v>
      </c>
      <c r="E375" s="20" t="s">
        <v>915</v>
      </c>
      <c r="F375" s="21">
        <v>0.7</v>
      </c>
      <c r="G375" s="22">
        <v>26</v>
      </c>
      <c r="H375" s="23">
        <f>F375 * G375 * 434.74968</f>
        <v>7912.444176</v>
      </c>
      <c r="I375" s="23">
        <f>F375 * G375 * 1.753363</f>
        <v>31.9112066</v>
      </c>
      <c r="J375" s="23">
        <f>F375 * G375 * 0</f>
        <v>0</v>
      </c>
      <c r="K375" s="23">
        <f>F375 * G375 * 413.881695</f>
        <v>7532.6468489999997</v>
      </c>
      <c r="L375" s="23">
        <f>F375 * G375 * 98.888808</f>
        <v>1799.7763055999999</v>
      </c>
      <c r="M375" s="23">
        <f>F375 * G375 * 86.949936</f>
        <v>1582.4888351999998</v>
      </c>
      <c r="N375" s="29">
        <f>SUM(H375:M375)</f>
        <v>18859.267372399998</v>
      </c>
      <c r="O375" s="33">
        <v>3.9218566475349152E-2</v>
      </c>
    </row>
    <row r="376" spans="2:15" s="15" customFormat="1" ht="12.75">
      <c r="B376" s="16"/>
      <c r="C376" s="17" t="s">
        <v>920</v>
      </c>
      <c r="D376" s="51" t="s">
        <v>921</v>
      </c>
      <c r="E376" s="51"/>
      <c r="F376" s="51"/>
      <c r="G376" s="51"/>
      <c r="H376" s="51"/>
      <c r="I376" s="51"/>
      <c r="J376" s="51"/>
      <c r="K376" s="51"/>
      <c r="L376" s="51"/>
      <c r="M376" s="51"/>
      <c r="N376" s="52"/>
      <c r="O376" s="35"/>
    </row>
    <row r="377" spans="2:15">
      <c r="B377" s="18">
        <v>237</v>
      </c>
      <c r="C377" s="19" t="s">
        <v>922</v>
      </c>
      <c r="D377" s="20" t="s">
        <v>923</v>
      </c>
      <c r="E377" s="20" t="s">
        <v>924</v>
      </c>
      <c r="F377" s="21">
        <v>7</v>
      </c>
      <c r="G377" s="22">
        <v>1</v>
      </c>
      <c r="H377" s="23">
        <f>F377 * G377 * 86.395555</f>
        <v>604.76888499999995</v>
      </c>
      <c r="I377" s="23">
        <f>F377 * G377 * 31.509672</f>
        <v>220.56770399999999</v>
      </c>
      <c r="J377" s="23">
        <f>F377 * G377 * 0</f>
        <v>0</v>
      </c>
      <c r="K377" s="23">
        <f>F377 * G377 * 82.248569</f>
        <v>575.73998300000005</v>
      </c>
      <c r="L377" s="23">
        <f>F377 * G377 * 22.939172</f>
        <v>160.57420400000001</v>
      </c>
      <c r="M377" s="23">
        <f>F377 * G377 * 17.279111</f>
        <v>120.953777</v>
      </c>
      <c r="N377" s="29">
        <f>SUM(H377:M377)</f>
        <v>1682.6045529999999</v>
      </c>
      <c r="O377" s="33">
        <v>3.4990404033472242E-3</v>
      </c>
    </row>
    <row r="378" spans="2:15">
      <c r="B378" s="18">
        <v>238</v>
      </c>
      <c r="C378" s="19" t="s">
        <v>925</v>
      </c>
      <c r="D378" s="20" t="s">
        <v>926</v>
      </c>
      <c r="E378" s="20" t="s">
        <v>927</v>
      </c>
      <c r="F378" s="21">
        <v>7</v>
      </c>
      <c r="G378" s="22">
        <v>1</v>
      </c>
      <c r="H378" s="23">
        <f>F378 * G378 * 121.412354</f>
        <v>849.8864779999999</v>
      </c>
      <c r="I378" s="23">
        <f>F378 * G378 * 40.520534</f>
        <v>283.64373799999998</v>
      </c>
      <c r="J378" s="23">
        <f>F378 * G378 * 0</f>
        <v>0</v>
      </c>
      <c r="K378" s="23">
        <f>F378 * G378 * 115.584561</f>
        <v>809.09192699999994</v>
      </c>
      <c r="L378" s="23">
        <f>F378 * G378 * 31.839892</f>
        <v>222.879244</v>
      </c>
      <c r="M378" s="23">
        <f>F378 * G378 * 24.282471</f>
        <v>169.97729700000002</v>
      </c>
      <c r="N378" s="29">
        <f>SUM(H378:M378)</f>
        <v>2335.4786839999997</v>
      </c>
      <c r="O378" s="33">
        <v>4.8567170829902093E-3</v>
      </c>
    </row>
    <row r="379" spans="2:15">
      <c r="B379" s="18">
        <v>239</v>
      </c>
      <c r="C379" s="19" t="s">
        <v>928</v>
      </c>
      <c r="D379" s="20" t="s">
        <v>929</v>
      </c>
      <c r="E379" s="20" t="s">
        <v>930</v>
      </c>
      <c r="F379" s="21">
        <v>7</v>
      </c>
      <c r="G379" s="22">
        <v>1</v>
      </c>
      <c r="H379" s="23">
        <f>F379 * G379 * 123.668327</f>
        <v>865.67828900000006</v>
      </c>
      <c r="I379" s="23">
        <f>F379 * G379 * 46.331865</f>
        <v>324.32305500000001</v>
      </c>
      <c r="J379" s="23">
        <f>F379 * G379 * 0</f>
        <v>0</v>
      </c>
      <c r="K379" s="23">
        <f>F379 * G379 * 117.732248</f>
        <v>824.12573599999996</v>
      </c>
      <c r="L379" s="23">
        <f>F379 * G379 * 32.965175</f>
        <v>230.75622500000003</v>
      </c>
      <c r="M379" s="23">
        <f>F379 * G379 * 24.733665</f>
        <v>173.13565499999999</v>
      </c>
      <c r="N379" s="29">
        <f>SUM(H379:M379)</f>
        <v>2418.0189599999999</v>
      </c>
      <c r="O379" s="33">
        <v>5.0283627380031436E-3</v>
      </c>
    </row>
    <row r="380" spans="2:15" ht="25.5">
      <c r="B380" s="18">
        <v>240</v>
      </c>
      <c r="C380" s="19" t="s">
        <v>931</v>
      </c>
      <c r="D380" s="20" t="s">
        <v>932</v>
      </c>
      <c r="E380" s="20" t="s">
        <v>933</v>
      </c>
      <c r="F380" s="21">
        <v>70</v>
      </c>
      <c r="G380" s="22">
        <v>1</v>
      </c>
      <c r="H380" s="23">
        <f>F380 * G380 * 266.614967</f>
        <v>18663.047689999999</v>
      </c>
      <c r="I380" s="23">
        <f>F380 * G380 * 27.800275</f>
        <v>1946.0192499999998</v>
      </c>
      <c r="J380" s="23">
        <f>F380 * G380 * 0</f>
        <v>0</v>
      </c>
      <c r="K380" s="23">
        <f>F380 * G380 * 253.817449</f>
        <v>17767.221430000001</v>
      </c>
      <c r="L380" s="23">
        <f>F380 * G380 * 63.464124</f>
        <v>4442.4886799999995</v>
      </c>
      <c r="M380" s="23">
        <f>F380 * G380 * 53.322993</f>
        <v>3732.6095099999998</v>
      </c>
      <c r="N380" s="29">
        <f>SUM(H380:M380)</f>
        <v>46551.386560000006</v>
      </c>
      <c r="O380" s="33">
        <v>9.6805385504787109E-2</v>
      </c>
    </row>
    <row r="381" spans="2:15" s="15" customFormat="1" ht="12.75">
      <c r="B381" s="16"/>
      <c r="C381" s="17" t="s">
        <v>934</v>
      </c>
      <c r="D381" s="51" t="s">
        <v>935</v>
      </c>
      <c r="E381" s="51"/>
      <c r="F381" s="51"/>
      <c r="G381" s="51"/>
      <c r="H381" s="51"/>
      <c r="I381" s="51"/>
      <c r="J381" s="51"/>
      <c r="K381" s="51"/>
      <c r="L381" s="51"/>
      <c r="M381" s="51"/>
      <c r="N381" s="52"/>
      <c r="O381" s="35"/>
    </row>
    <row r="382" spans="2:15">
      <c r="B382" s="18">
        <v>241</v>
      </c>
      <c r="C382" s="19" t="s">
        <v>936</v>
      </c>
      <c r="D382" s="20" t="s">
        <v>937</v>
      </c>
      <c r="E382" s="20" t="s">
        <v>924</v>
      </c>
      <c r="F382" s="21">
        <v>7</v>
      </c>
      <c r="G382" s="22">
        <v>1</v>
      </c>
      <c r="H382" s="23">
        <f>F382 * G382 * 635.774152</f>
        <v>4450.4190639999997</v>
      </c>
      <c r="I382" s="23">
        <f>F382 * G382 * 1391.551504</f>
        <v>9740.8605280000011</v>
      </c>
      <c r="J382" s="23">
        <f>F382 * G382 * 8.67416</f>
        <v>60.719120000000004</v>
      </c>
      <c r="K382" s="23">
        <f>F382 * G382 * 605.256993</f>
        <v>4236.7989509999998</v>
      </c>
      <c r="L382" s="23">
        <f>F382 * G382 * 292.067428</f>
        <v>2044.471996</v>
      </c>
      <c r="M382" s="23">
        <f>F382 * G382 * 127.15483</f>
        <v>890.08381000000008</v>
      </c>
      <c r="N382" s="29">
        <f>SUM(H382:M382)</f>
        <v>21423.353469000001</v>
      </c>
      <c r="O382" s="33">
        <v>4.4550681400194643E-2</v>
      </c>
    </row>
    <row r="383" spans="2:15">
      <c r="B383" s="18">
        <v>242</v>
      </c>
      <c r="C383" s="19" t="s">
        <v>938</v>
      </c>
      <c r="D383" s="20" t="s">
        <v>939</v>
      </c>
      <c r="E383" s="20" t="s">
        <v>927</v>
      </c>
      <c r="F383" s="21">
        <v>7</v>
      </c>
      <c r="G383" s="22">
        <v>1</v>
      </c>
      <c r="H383" s="23">
        <f>F383 * G383 * 922.897962</f>
        <v>6460.285734</v>
      </c>
      <c r="I383" s="23">
        <f>F383 * G383 * 666.831338</f>
        <v>4667.8193659999997</v>
      </c>
      <c r="J383" s="23">
        <f>F383 * G383 * 8.67416</f>
        <v>60.719120000000004</v>
      </c>
      <c r="K383" s="23">
        <f>F383 * G383 * 878.59886</f>
        <v>6150.1920199999995</v>
      </c>
      <c r="L383" s="23">
        <f>F383 * G383 * 280.796892</f>
        <v>1965.578244</v>
      </c>
      <c r="M383" s="23">
        <f>F383 * G383 * 184.579592</f>
        <v>1292.0571439999999</v>
      </c>
      <c r="N383" s="29">
        <f>SUM(H383:M383)</f>
        <v>20596.651628</v>
      </c>
      <c r="O383" s="33">
        <v>4.283152336153187E-2</v>
      </c>
    </row>
    <row r="384" spans="2:15">
      <c r="B384" s="18">
        <v>243</v>
      </c>
      <c r="C384" s="19" t="s">
        <v>940</v>
      </c>
      <c r="D384" s="20" t="s">
        <v>941</v>
      </c>
      <c r="E384" s="20" t="s">
        <v>930</v>
      </c>
      <c r="F384" s="21">
        <v>7</v>
      </c>
      <c r="G384" s="22">
        <v>1</v>
      </c>
      <c r="H384" s="23">
        <f>F384 * G384 * 430.685716</f>
        <v>3014.8000120000002</v>
      </c>
      <c r="I384" s="23">
        <f>F384 * G384 * 312.588741</f>
        <v>2188.1211870000002</v>
      </c>
      <c r="J384" s="23">
        <f>F384 * G384 * 0</f>
        <v>0</v>
      </c>
      <c r="K384" s="23">
        <f>F384 * G384 * 410.012800999999</f>
        <v>2870.0896069999931</v>
      </c>
      <c r="L384" s="23">
        <f>F384 * G384 * 130.759274</f>
        <v>915.31491800000003</v>
      </c>
      <c r="M384" s="23">
        <f>F384 * G384 * 86.137143</f>
        <v>602.96000099999992</v>
      </c>
      <c r="N384" s="29">
        <f>SUM(H384:M384)</f>
        <v>9591.2857249999925</v>
      </c>
      <c r="O384" s="33">
        <v>1.9945444823613556E-2</v>
      </c>
    </row>
    <row r="385" spans="2:15" ht="25.5">
      <c r="B385" s="18">
        <v>244</v>
      </c>
      <c r="C385" s="19" t="s">
        <v>942</v>
      </c>
      <c r="D385" s="20" t="s">
        <v>943</v>
      </c>
      <c r="E385" s="20" t="s">
        <v>944</v>
      </c>
      <c r="F385" s="21">
        <v>70</v>
      </c>
      <c r="G385" s="22">
        <v>1</v>
      </c>
      <c r="H385" s="23">
        <f>F385 * G385 * 205.088436</f>
        <v>14356.19052</v>
      </c>
      <c r="I385" s="23">
        <f>F385 * G385 * 2406.914785</f>
        <v>168484.03495</v>
      </c>
      <c r="J385" s="23">
        <f>F385 * G385 * 3.15084</f>
        <v>220.55880000000002</v>
      </c>
      <c r="K385" s="23">
        <f>F385 * G385 * 195.244191</f>
        <v>13667.093370000001</v>
      </c>
      <c r="L385" s="23">
        <f>F385 * G385 * 300.824381999999</f>
        <v>21057.706739999929</v>
      </c>
      <c r="M385" s="23">
        <f>F385 * G385 * 41.017687</f>
        <v>2871.2380900000003</v>
      </c>
      <c r="N385" s="29">
        <f>SUM(H385:M385)</f>
        <v>220656.82246999993</v>
      </c>
      <c r="O385" s="33">
        <v>0.45886428615693009</v>
      </c>
    </row>
    <row r="386" spans="2:15">
      <c r="B386" s="18">
        <v>245</v>
      </c>
      <c r="C386" s="19" t="s">
        <v>945</v>
      </c>
      <c r="D386" s="20" t="s">
        <v>946</v>
      </c>
      <c r="E386" s="20" t="s">
        <v>930</v>
      </c>
      <c r="F386" s="21">
        <v>7</v>
      </c>
      <c r="G386" s="22">
        <v>1</v>
      </c>
      <c r="H386" s="23">
        <f>F386 * G386 * 21.124109</f>
        <v>147.868763</v>
      </c>
      <c r="I386" s="23">
        <f>F386 * G386 * 934.95778</f>
        <v>6544.7044599999999</v>
      </c>
      <c r="J386" s="23">
        <f>F386 * G386 * 0</f>
        <v>0</v>
      </c>
      <c r="K386" s="23">
        <f>F386 * G386 * 20.110152</f>
        <v>140.771064</v>
      </c>
      <c r="L386" s="23">
        <f>F386 * G386 * 103.433979</f>
        <v>724.03785299999993</v>
      </c>
      <c r="M386" s="23">
        <f>F386 * G386 * 4.224822</f>
        <v>29.573753999999997</v>
      </c>
      <c r="N386" s="29">
        <f>SUM(H386:M386)</f>
        <v>7586.9558939999997</v>
      </c>
      <c r="O386" s="33">
        <v>1.5777364422429066E-2</v>
      </c>
    </row>
    <row r="387" spans="2:15" s="15" customFormat="1" ht="12.75">
      <c r="B387" s="16"/>
      <c r="C387" s="17" t="s">
        <v>947</v>
      </c>
      <c r="D387" s="49" t="s">
        <v>948</v>
      </c>
      <c r="E387" s="49"/>
      <c r="F387" s="49"/>
      <c r="G387" s="49"/>
      <c r="H387" s="49"/>
      <c r="I387" s="49"/>
      <c r="J387" s="49"/>
      <c r="K387" s="49"/>
      <c r="L387" s="49"/>
      <c r="M387" s="49"/>
      <c r="N387" s="50"/>
      <c r="O387" s="32"/>
    </row>
    <row r="388" spans="2:15" ht="38.25">
      <c r="B388" s="18">
        <v>246</v>
      </c>
      <c r="C388" s="19" t="s">
        <v>949</v>
      </c>
      <c r="D388" s="20" t="s">
        <v>950</v>
      </c>
      <c r="E388" s="20" t="s">
        <v>951</v>
      </c>
      <c r="F388" s="21">
        <v>0.93300000000000005</v>
      </c>
      <c r="G388" s="22">
        <v>4</v>
      </c>
      <c r="H388" s="23">
        <f>F388 * G388 * 4409.873928</f>
        <v>16457.649499296</v>
      </c>
      <c r="I388" s="23">
        <f>F388 * G388 * 0</f>
        <v>0</v>
      </c>
      <c r="J388" s="23">
        <f>F388 * G388 * 0</f>
        <v>0</v>
      </c>
      <c r="K388" s="23">
        <f>F388 * G388 * 4198.199979</f>
        <v>15667.682321628001</v>
      </c>
      <c r="L388" s="23">
        <f>F388 * G388 * 1001.200137</f>
        <v>3736.4789112840003</v>
      </c>
      <c r="M388" s="23">
        <f>F388 * G388 * 881.974786</f>
        <v>3291.5299013520003</v>
      </c>
      <c r="N388" s="29">
        <f>SUM(H388:M388)</f>
        <v>39153.340633560001</v>
      </c>
      <c r="O388" s="33">
        <v>8.1420866571756553E-2</v>
      </c>
    </row>
    <row r="389" spans="2:15" s="15" customFormat="1" ht="12.75">
      <c r="B389" s="16"/>
      <c r="C389" s="17" t="s">
        <v>952</v>
      </c>
      <c r="D389" s="49" t="s">
        <v>953</v>
      </c>
      <c r="E389" s="49"/>
      <c r="F389" s="49"/>
      <c r="G389" s="49"/>
      <c r="H389" s="49"/>
      <c r="I389" s="49"/>
      <c r="J389" s="49"/>
      <c r="K389" s="49"/>
      <c r="L389" s="49"/>
      <c r="M389" s="49"/>
      <c r="N389" s="50"/>
      <c r="O389" s="32"/>
    </row>
    <row r="390" spans="2:15" ht="38.25">
      <c r="B390" s="18">
        <v>247</v>
      </c>
      <c r="C390" s="19" t="s">
        <v>954</v>
      </c>
      <c r="D390" s="20" t="s">
        <v>955</v>
      </c>
      <c r="E390" s="20" t="s">
        <v>951</v>
      </c>
      <c r="F390" s="21">
        <v>0.93300000000000005</v>
      </c>
      <c r="G390" s="22">
        <v>4</v>
      </c>
      <c r="H390" s="23">
        <f>F390 * G390 * 19217.826072</f>
        <v>71720.926900703998</v>
      </c>
      <c r="I390" s="23">
        <f>F390 * G390 * 0</f>
        <v>0</v>
      </c>
      <c r="J390" s="23">
        <f>F390 * G390 * 0</f>
        <v>0</v>
      </c>
      <c r="K390" s="23">
        <f>F390 * G390 * 18295.370421</f>
        <v>68278.322411172005</v>
      </c>
      <c r="L390" s="23">
        <f>F390 * G390 * 4363.13836099999</f>
        <v>16283.232363251964</v>
      </c>
      <c r="M390" s="23">
        <f>F390 * G390 * 3843.565214</f>
        <v>14344.185378648002</v>
      </c>
      <c r="N390" s="29">
        <f>SUM(H390:M390)</f>
        <v>170626.66705377598</v>
      </c>
      <c r="O390" s="33">
        <v>0.35482466800958251</v>
      </c>
    </row>
    <row r="391" spans="2:15" s="15" customFormat="1" ht="12.75">
      <c r="B391" s="16"/>
      <c r="C391" s="17" t="s">
        <v>956</v>
      </c>
      <c r="D391" s="49" t="s">
        <v>957</v>
      </c>
      <c r="E391" s="49"/>
      <c r="F391" s="49"/>
      <c r="G391" s="49"/>
      <c r="H391" s="49"/>
      <c r="I391" s="49"/>
      <c r="J391" s="49"/>
      <c r="K391" s="49"/>
      <c r="L391" s="49"/>
      <c r="M391" s="49"/>
      <c r="N391" s="50"/>
      <c r="O391" s="32"/>
    </row>
    <row r="392" spans="2:15" ht="38.25">
      <c r="B392" s="18">
        <v>248</v>
      </c>
      <c r="C392" s="19" t="s">
        <v>958</v>
      </c>
      <c r="D392" s="20" t="s">
        <v>959</v>
      </c>
      <c r="E392" s="20" t="s">
        <v>951</v>
      </c>
      <c r="F392" s="21">
        <v>0.93300000000000005</v>
      </c>
      <c r="G392" s="22">
        <v>2</v>
      </c>
      <c r="H392" s="23">
        <f>F392 * G392 * 133889.669928</f>
        <v>249838.12408564799</v>
      </c>
      <c r="I392" s="23">
        <f>F392 * G392 * 0</f>
        <v>0</v>
      </c>
      <c r="J392" s="23">
        <f t="shared" ref="J392:J397" si="25">F392 * G392 * 0</f>
        <v>0</v>
      </c>
      <c r="K392" s="23">
        <f>F392 * G392 * 127462.965771</f>
        <v>237845.89412868602</v>
      </c>
      <c r="L392" s="23">
        <f>F392 * G392 * 30397.775101</f>
        <v>56722.248338466001</v>
      </c>
      <c r="M392" s="23">
        <f>F392 * G392 * 26777.933986</f>
        <v>49967.624817876</v>
      </c>
      <c r="N392" s="29">
        <f t="shared" ref="N392:N397" si="26">SUM(H392:M392)</f>
        <v>594373.89137067611</v>
      </c>
      <c r="O392" s="33">
        <v>1.2360231980191903</v>
      </c>
    </row>
    <row r="393" spans="2:15">
      <c r="B393" s="18">
        <v>249</v>
      </c>
      <c r="C393" s="19" t="s">
        <v>960</v>
      </c>
      <c r="D393" s="20" t="s">
        <v>961</v>
      </c>
      <c r="E393" s="20" t="s">
        <v>962</v>
      </c>
      <c r="F393" s="21">
        <v>21</v>
      </c>
      <c r="G393" s="22">
        <v>1</v>
      </c>
      <c r="H393" s="23">
        <f>F393 * G393 * 157.454993</f>
        <v>3306.5548530000001</v>
      </c>
      <c r="I393" s="23">
        <f>F393 * G393 * 0</f>
        <v>0</v>
      </c>
      <c r="J393" s="23">
        <f t="shared" si="25"/>
        <v>0</v>
      </c>
      <c r="K393" s="23">
        <f>F393 * G393 * 149.897153</f>
        <v>3147.8402129999999</v>
      </c>
      <c r="L393" s="23">
        <f>F393 * G393 * 35.747952</f>
        <v>750.7069919999999</v>
      </c>
      <c r="M393" s="23">
        <f>F393 * G393 * 31.490999</f>
        <v>661.31097899999997</v>
      </c>
      <c r="N393" s="29">
        <f t="shared" si="26"/>
        <v>7866.4130370000003</v>
      </c>
      <c r="O393" s="33">
        <v>1.6358506219898684E-2</v>
      </c>
    </row>
    <row r="394" spans="2:15">
      <c r="B394" s="18">
        <v>250</v>
      </c>
      <c r="C394" s="19" t="s">
        <v>963</v>
      </c>
      <c r="D394" s="20" t="s">
        <v>964</v>
      </c>
      <c r="E394" s="20" t="s">
        <v>93</v>
      </c>
      <c r="F394" s="21">
        <v>93.289000000000001</v>
      </c>
      <c r="G394" s="22">
        <v>26</v>
      </c>
      <c r="H394" s="23">
        <f>F394 * G394 * 40.828666</f>
        <v>99030.500984323997</v>
      </c>
      <c r="I394" s="23">
        <f>F394 * G394 * 43.892736</f>
        <v>106462.445666304</v>
      </c>
      <c r="J394" s="23">
        <f t="shared" si="25"/>
        <v>0</v>
      </c>
      <c r="K394" s="23">
        <f>F394 * G394 * 38.86889</f>
        <v>94277.03685946</v>
      </c>
      <c r="L394" s="23">
        <f>F394 * G394 * 13.900261</f>
        <v>33715.277659154002</v>
      </c>
      <c r="M394" s="23">
        <f>F394 * G394 * 8.165733</f>
        <v>19806.099711761999</v>
      </c>
      <c r="N394" s="29">
        <f t="shared" si="26"/>
        <v>353291.36088100396</v>
      </c>
      <c r="O394" s="33">
        <v>0.73468287226021667</v>
      </c>
    </row>
    <row r="395" spans="2:15" ht="25.5">
      <c r="B395" s="18">
        <v>251</v>
      </c>
      <c r="C395" s="19" t="s">
        <v>965</v>
      </c>
      <c r="D395" s="20" t="s">
        <v>966</v>
      </c>
      <c r="E395" s="20" t="s">
        <v>967</v>
      </c>
      <c r="F395" s="21">
        <v>21</v>
      </c>
      <c r="G395" s="22">
        <v>1</v>
      </c>
      <c r="H395" s="23">
        <f>F395 * G395 * 200.362896</f>
        <v>4207.6208160000006</v>
      </c>
      <c r="I395" s="23">
        <f>F395 * G395 * 0</f>
        <v>0</v>
      </c>
      <c r="J395" s="23">
        <f t="shared" si="25"/>
        <v>0</v>
      </c>
      <c r="K395" s="23">
        <f>F395 * G395 * 190.745477</f>
        <v>4005.655017</v>
      </c>
      <c r="L395" s="23">
        <f>F395 * G395 * 45.489591</f>
        <v>955.28141099999993</v>
      </c>
      <c r="M395" s="23">
        <f>F395 * G395 * 40.072579</f>
        <v>841.52415899999994</v>
      </c>
      <c r="N395" s="29">
        <f t="shared" si="26"/>
        <v>10010.081403</v>
      </c>
      <c r="O395" s="33">
        <v>2.081634642402615E-2</v>
      </c>
    </row>
    <row r="396" spans="2:15" ht="25.5">
      <c r="B396" s="18">
        <v>252</v>
      </c>
      <c r="C396" s="19" t="s">
        <v>968</v>
      </c>
      <c r="D396" s="20" t="s">
        <v>969</v>
      </c>
      <c r="E396" s="20" t="s">
        <v>970</v>
      </c>
      <c r="F396" s="21">
        <v>21</v>
      </c>
      <c r="G396" s="22">
        <v>6</v>
      </c>
      <c r="H396" s="23">
        <f>F396 * G396 * 22.682592</f>
        <v>2858.0065919999997</v>
      </c>
      <c r="I396" s="23">
        <f>F396 * G396 * 0</f>
        <v>0</v>
      </c>
      <c r="J396" s="23">
        <f t="shared" si="25"/>
        <v>0</v>
      </c>
      <c r="K396" s="23">
        <f>F396 * G396 * 21.593828</f>
        <v>2720.8223279999997</v>
      </c>
      <c r="L396" s="23">
        <f>F396 * G396 * 5.149765</f>
        <v>648.87039000000004</v>
      </c>
      <c r="M396" s="23">
        <f>F396 * G396 * 4.536518</f>
        <v>571.601268</v>
      </c>
      <c r="N396" s="29">
        <f t="shared" si="26"/>
        <v>6799.3005780000003</v>
      </c>
      <c r="O396" s="33">
        <v>1.4139405123150253E-2</v>
      </c>
    </row>
    <row r="397" spans="2:15">
      <c r="B397" s="18">
        <v>253</v>
      </c>
      <c r="C397" s="19" t="s">
        <v>971</v>
      </c>
      <c r="D397" s="20" t="s">
        <v>972</v>
      </c>
      <c r="E397" s="20" t="s">
        <v>970</v>
      </c>
      <c r="F397" s="21">
        <v>21</v>
      </c>
      <c r="G397" s="22">
        <v>2</v>
      </c>
      <c r="H397" s="23">
        <f>F397 * G397 * 19.280203</f>
        <v>809.76852600000007</v>
      </c>
      <c r="I397" s="23">
        <f>F397 * G397 * 0</f>
        <v>0</v>
      </c>
      <c r="J397" s="23">
        <f t="shared" si="25"/>
        <v>0</v>
      </c>
      <c r="K397" s="23">
        <f>F397 * G397 * 18.354753</f>
        <v>770.8996259999999</v>
      </c>
      <c r="L397" s="23">
        <f>F397 * G397 * 4.3773</f>
        <v>183.8466</v>
      </c>
      <c r="M397" s="23">
        <f>F397 * G397 * 3.856041</f>
        <v>161.953722</v>
      </c>
      <c r="N397" s="29">
        <f t="shared" si="26"/>
        <v>1926.468474</v>
      </c>
      <c r="O397" s="33">
        <v>4.0061647368552387E-3</v>
      </c>
    </row>
    <row r="398" spans="2:15" s="15" customFormat="1" ht="12.75">
      <c r="B398" s="16"/>
      <c r="C398" s="17" t="s">
        <v>973</v>
      </c>
      <c r="D398" s="49" t="s">
        <v>974</v>
      </c>
      <c r="E398" s="49"/>
      <c r="F398" s="49"/>
      <c r="G398" s="49"/>
      <c r="H398" s="49"/>
      <c r="I398" s="49"/>
      <c r="J398" s="49"/>
      <c r="K398" s="49"/>
      <c r="L398" s="49"/>
      <c r="M398" s="49"/>
      <c r="N398" s="50"/>
      <c r="O398" s="32"/>
    </row>
    <row r="399" spans="2:15" ht="25.5">
      <c r="B399" s="18">
        <v>254</v>
      </c>
      <c r="C399" s="19" t="s">
        <v>975</v>
      </c>
      <c r="D399" s="20" t="s">
        <v>976</v>
      </c>
      <c r="E399" s="20" t="s">
        <v>977</v>
      </c>
      <c r="F399" s="21">
        <v>69.108999999999995</v>
      </c>
      <c r="G399" s="22">
        <v>2</v>
      </c>
      <c r="H399" s="23">
        <f>F399 * G399 * 737.18424</f>
        <v>101892.13128432</v>
      </c>
      <c r="I399" s="23">
        <f>F399 * G399 * 0</f>
        <v>0</v>
      </c>
      <c r="J399" s="23">
        <f>F399 * G399 * 0</f>
        <v>0</v>
      </c>
      <c r="K399" s="23">
        <f>F399 * G399 * 701.799396</f>
        <v>97001.308916327995</v>
      </c>
      <c r="L399" s="23">
        <f>F399 * G399 * 167.367361</f>
        <v>23133.181902697997</v>
      </c>
      <c r="M399" s="23">
        <f>F399 * G399 * 147.436848</f>
        <v>20378.426256863997</v>
      </c>
      <c r="N399" s="29">
        <f>SUM(H399:M399)</f>
        <v>242405.04836020997</v>
      </c>
      <c r="O399" s="33">
        <v>0.50409055215941312</v>
      </c>
    </row>
    <row r="400" spans="2:15">
      <c r="B400" s="18">
        <v>255</v>
      </c>
      <c r="C400" s="19" t="s">
        <v>978</v>
      </c>
      <c r="D400" s="20" t="s">
        <v>979</v>
      </c>
      <c r="E400" s="20" t="s">
        <v>980</v>
      </c>
      <c r="F400" s="21">
        <v>69.108999999999995</v>
      </c>
      <c r="G400" s="22">
        <v>1</v>
      </c>
      <c r="H400" s="23">
        <f>F400 * G400 * 226.82592</f>
        <v>15675.712505279998</v>
      </c>
      <c r="I400" s="23">
        <f>F400 * G400 * 0</f>
        <v>0</v>
      </c>
      <c r="J400" s="23">
        <f>F400 * G400 * 0</f>
        <v>0</v>
      </c>
      <c r="K400" s="23">
        <f>F400 * G400 * 215.938276</f>
        <v>14923.278316083999</v>
      </c>
      <c r="L400" s="23">
        <f>F400 * G400 * 51.49765</f>
        <v>3558.9510938499998</v>
      </c>
      <c r="M400" s="23">
        <f>F400 * G400 * 45.365184</f>
        <v>3135.1425010559997</v>
      </c>
      <c r="N400" s="29">
        <f>SUM(H400:M400)</f>
        <v>37293.084416269994</v>
      </c>
      <c r="O400" s="33">
        <v>7.7552392750459567E-2</v>
      </c>
    </row>
    <row r="401" spans="2:15" s="15" customFormat="1" ht="12.75">
      <c r="B401" s="16"/>
      <c r="C401" s="17" t="s">
        <v>981</v>
      </c>
      <c r="D401" s="49" t="s">
        <v>982</v>
      </c>
      <c r="E401" s="49"/>
      <c r="F401" s="49"/>
      <c r="G401" s="49"/>
      <c r="H401" s="49"/>
      <c r="I401" s="49"/>
      <c r="J401" s="49"/>
      <c r="K401" s="49"/>
      <c r="L401" s="49"/>
      <c r="M401" s="49"/>
      <c r="N401" s="50"/>
      <c r="O401" s="32"/>
    </row>
    <row r="402" spans="2:15" ht="25.5">
      <c r="B402" s="18">
        <v>256</v>
      </c>
      <c r="C402" s="19" t="s">
        <v>983</v>
      </c>
      <c r="D402" s="20" t="s">
        <v>984</v>
      </c>
      <c r="E402" s="20" t="s">
        <v>985</v>
      </c>
      <c r="F402" s="21">
        <v>9.3290000000000006</v>
      </c>
      <c r="G402" s="22">
        <v>2</v>
      </c>
      <c r="H402" s="23">
        <f>F402 * G402 * 0</f>
        <v>0</v>
      </c>
      <c r="I402" s="23">
        <f>F402 * G402 * 0</f>
        <v>0</v>
      </c>
      <c r="J402" s="23">
        <f>F402 * G402 * 100.65264</f>
        <v>1877.9769571200002</v>
      </c>
      <c r="K402" s="23">
        <f>F402 * G402 * 43.408555</f>
        <v>809.91681919000007</v>
      </c>
      <c r="L402" s="23">
        <f>F402 * G402 * 16.160557</f>
        <v>301.52367250600003</v>
      </c>
      <c r="M402" s="23">
        <f>F402 * G402 * 9.119444</f>
        <v>170.15058615200002</v>
      </c>
      <c r="N402" s="29">
        <f t="shared" ref="N402:N408" si="27">SUM(H402:M402)</f>
        <v>3159.5680349680001</v>
      </c>
      <c r="O402" s="33">
        <v>6.5704423488965975E-3</v>
      </c>
    </row>
    <row r="403" spans="2:15" ht="25.5">
      <c r="B403" s="18">
        <v>257</v>
      </c>
      <c r="C403" s="19" t="s">
        <v>986</v>
      </c>
      <c r="D403" s="20" t="s">
        <v>987</v>
      </c>
      <c r="E403" s="20" t="s">
        <v>985</v>
      </c>
      <c r="F403" s="21">
        <v>9.3290000000000006</v>
      </c>
      <c r="G403" s="22">
        <v>2</v>
      </c>
      <c r="H403" s="23">
        <f>F403 * G403 * 0</f>
        <v>0</v>
      </c>
      <c r="I403" s="23">
        <f>F403 * G403 * 0</f>
        <v>0</v>
      </c>
      <c r="J403" s="23">
        <f>F403 * G403 * 117.123072</f>
        <v>2185.2822773759999</v>
      </c>
      <c r="K403" s="23">
        <f>F403 * G403 * 50.511774</f>
        <v>942.44867929200007</v>
      </c>
      <c r="L403" s="23">
        <f>F403 * G403 * 18.805013</f>
        <v>350.86393255400003</v>
      </c>
      <c r="M403" s="23">
        <f>F403 * G403 * 10.611717</f>
        <v>197.99341578600001</v>
      </c>
      <c r="N403" s="29">
        <f t="shared" si="27"/>
        <v>3676.5883050080001</v>
      </c>
      <c r="O403" s="33">
        <v>7.6456057382942796E-3</v>
      </c>
    </row>
    <row r="404" spans="2:15" ht="25.5">
      <c r="B404" s="18">
        <v>258</v>
      </c>
      <c r="C404" s="19" t="s">
        <v>988</v>
      </c>
      <c r="D404" s="20" t="s">
        <v>989</v>
      </c>
      <c r="E404" s="20" t="s">
        <v>990</v>
      </c>
      <c r="F404" s="21">
        <v>1050</v>
      </c>
      <c r="G404" s="22">
        <v>2</v>
      </c>
      <c r="H404" s="23">
        <f>F404 * G404 * 47.2554</f>
        <v>99236.34</v>
      </c>
      <c r="I404" s="23">
        <f>F404 * G404 * 0</f>
        <v>0</v>
      </c>
      <c r="J404" s="23">
        <f>F404 * G404 * 0</f>
        <v>0</v>
      </c>
      <c r="K404" s="23">
        <f>F404 * G404 * 44.987141</f>
        <v>94472.996100000004</v>
      </c>
      <c r="L404" s="23">
        <f>F404 * G404 * 10.728677</f>
        <v>22530.221699999998</v>
      </c>
      <c r="M404" s="23">
        <f>F404 * G404 * 9.45108</f>
        <v>19847.268</v>
      </c>
      <c r="N404" s="29">
        <f t="shared" si="27"/>
        <v>236086.82580000002</v>
      </c>
      <c r="O404" s="33">
        <v>0.49095156713996957</v>
      </c>
    </row>
    <row r="405" spans="2:15" ht="25.5">
      <c r="B405" s="18">
        <v>259</v>
      </c>
      <c r="C405" s="19" t="s">
        <v>991</v>
      </c>
      <c r="D405" s="20" t="s">
        <v>992</v>
      </c>
      <c r="E405" s="20" t="s">
        <v>96</v>
      </c>
      <c r="F405" s="21">
        <v>1.26</v>
      </c>
      <c r="G405" s="22">
        <v>124</v>
      </c>
      <c r="H405" s="23">
        <f>F405 * G405 * 260.849808</f>
        <v>40755.174001920001</v>
      </c>
      <c r="I405" s="23">
        <f>F405 * G405 * 0</f>
        <v>0</v>
      </c>
      <c r="J405" s="23">
        <f>F405 * G405 * 0</f>
        <v>0</v>
      </c>
      <c r="K405" s="23">
        <f>F405 * G405 * 248.329017</f>
        <v>38798.92561608</v>
      </c>
      <c r="L405" s="23">
        <f>F405 * G405 * 59.222297</f>
        <v>9252.8916832800005</v>
      </c>
      <c r="M405" s="23">
        <f>F405 * G405 * 52.169962</f>
        <v>8151.0348628800002</v>
      </c>
      <c r="N405" s="29">
        <f t="shared" si="27"/>
        <v>96958.026164160008</v>
      </c>
      <c r="O405" s="33">
        <v>0.20162791689366907</v>
      </c>
    </row>
    <row r="406" spans="2:15" ht="25.5">
      <c r="B406" s="18">
        <v>260</v>
      </c>
      <c r="C406" s="19" t="s">
        <v>993</v>
      </c>
      <c r="D406" s="20" t="s">
        <v>994</v>
      </c>
      <c r="E406" s="20" t="s">
        <v>96</v>
      </c>
      <c r="F406" s="21">
        <v>1.26</v>
      </c>
      <c r="G406" s="22">
        <v>124</v>
      </c>
      <c r="H406" s="23">
        <f>F406 * G406 * 48.200508</f>
        <v>7530.8473699200003</v>
      </c>
      <c r="I406" s="23">
        <f>F406 * G406 * 0.284166</f>
        <v>44.398095839999996</v>
      </c>
      <c r="J406" s="23">
        <f>F406 * G406 * 0</f>
        <v>0</v>
      </c>
      <c r="K406" s="23">
        <f>F406 * G406 * 45.886883</f>
        <v>7169.3665999200002</v>
      </c>
      <c r="L406" s="23">
        <f>F406 * G406 * 10.97323</f>
        <v>1714.4574551999999</v>
      </c>
      <c r="M406" s="23">
        <f>F406 * G406 * 9.640102</f>
        <v>1506.1695364800003</v>
      </c>
      <c r="N406" s="29">
        <f t="shared" si="27"/>
        <v>17965.239057360002</v>
      </c>
      <c r="O406" s="33">
        <v>3.7359400463653838E-2</v>
      </c>
    </row>
    <row r="407" spans="2:15" ht="25.5">
      <c r="B407" s="18">
        <v>261</v>
      </c>
      <c r="C407" s="19" t="s">
        <v>995</v>
      </c>
      <c r="D407" s="20" t="s">
        <v>996</v>
      </c>
      <c r="E407" s="20" t="s">
        <v>997</v>
      </c>
      <c r="F407" s="21">
        <v>21</v>
      </c>
      <c r="G407" s="22">
        <v>6</v>
      </c>
      <c r="H407" s="23">
        <f>F407 * G407 * 98.858297</f>
        <v>12456.145422</v>
      </c>
      <c r="I407" s="23">
        <f>F407 * G407 * 0.495187</f>
        <v>62.393561999999996</v>
      </c>
      <c r="J407" s="23">
        <f>F407 * G407 * 0</f>
        <v>0</v>
      </c>
      <c r="K407" s="23">
        <f>F407 * G407 * 94.1130989999999</f>
        <v>11858.250473999988</v>
      </c>
      <c r="L407" s="23">
        <f>F407 * G407 * 22.496634</f>
        <v>2834.5758839999999</v>
      </c>
      <c r="M407" s="23">
        <f>F407 * G407 * 19.771659</f>
        <v>2491.229034</v>
      </c>
      <c r="N407" s="29">
        <f t="shared" si="27"/>
        <v>29702.594375999983</v>
      </c>
      <c r="O407" s="33">
        <v>6.1767678935941872E-2</v>
      </c>
    </row>
    <row r="408" spans="2:15">
      <c r="B408" s="18">
        <v>262</v>
      </c>
      <c r="C408" s="19" t="s">
        <v>998</v>
      </c>
      <c r="D408" s="20" t="s">
        <v>999</v>
      </c>
      <c r="E408" s="20" t="s">
        <v>1000</v>
      </c>
      <c r="F408" s="21">
        <v>21</v>
      </c>
      <c r="G408" s="22">
        <v>2</v>
      </c>
      <c r="H408" s="23">
        <f>F408 * G408 * 58.286701</f>
        <v>2448.0414420000002</v>
      </c>
      <c r="I408" s="23">
        <f>F408 * G408 * 0</f>
        <v>0</v>
      </c>
      <c r="J408" s="23">
        <f>F408 * G408 * 0</f>
        <v>0</v>
      </c>
      <c r="K408" s="23">
        <f>F408 * G408 * 55.48894</f>
        <v>2330.53548</v>
      </c>
      <c r="L408" s="23">
        <f>F408 * G408 * 13.2331799999999</f>
        <v>555.79355999999575</v>
      </c>
      <c r="M408" s="23">
        <f>F408 * G408 * 11.65734</f>
        <v>489.60827999999998</v>
      </c>
      <c r="N408" s="29">
        <f t="shared" si="27"/>
        <v>5823.9787619999961</v>
      </c>
      <c r="O408" s="33">
        <v>1.2111186172734751E-2</v>
      </c>
    </row>
    <row r="409" spans="2:15" s="12" customFormat="1" ht="15">
      <c r="B409" s="13"/>
      <c r="C409" s="14" t="s">
        <v>1001</v>
      </c>
      <c r="D409" s="47" t="s">
        <v>1002</v>
      </c>
      <c r="E409" s="47"/>
      <c r="F409" s="47"/>
      <c r="G409" s="47"/>
      <c r="H409" s="47"/>
      <c r="I409" s="47"/>
      <c r="J409" s="47"/>
      <c r="K409" s="47"/>
      <c r="L409" s="47"/>
      <c r="M409" s="47"/>
      <c r="N409" s="48"/>
      <c r="O409" s="34"/>
    </row>
    <row r="410" spans="2:15" s="15" customFormat="1" ht="12.75">
      <c r="B410" s="16"/>
      <c r="C410" s="17" t="s">
        <v>1003</v>
      </c>
      <c r="D410" s="49" t="s">
        <v>1004</v>
      </c>
      <c r="E410" s="49"/>
      <c r="F410" s="49"/>
      <c r="G410" s="49"/>
      <c r="H410" s="49"/>
      <c r="I410" s="49"/>
      <c r="J410" s="49"/>
      <c r="K410" s="49"/>
      <c r="L410" s="49"/>
      <c r="M410" s="49"/>
      <c r="N410" s="50"/>
      <c r="O410" s="32"/>
    </row>
    <row r="411" spans="2:15">
      <c r="B411" s="18">
        <v>263</v>
      </c>
      <c r="C411" s="19" t="s">
        <v>1005</v>
      </c>
      <c r="D411" s="20" t="s">
        <v>1006</v>
      </c>
      <c r="E411" s="20" t="s">
        <v>1007</v>
      </c>
      <c r="F411" s="21">
        <v>28</v>
      </c>
      <c r="G411" s="22">
        <v>1</v>
      </c>
      <c r="H411" s="23">
        <f>F411 * G411 * 67.679184</f>
        <v>1895.0171520000001</v>
      </c>
      <c r="I411" s="23">
        <f>F411 * G411 * 268.14146</f>
        <v>7507.9608799999996</v>
      </c>
      <c r="J411" s="23">
        <f>F411 * G411 * 0</f>
        <v>0</v>
      </c>
      <c r="K411" s="23">
        <f>F411 * G411 * 64.430584</f>
        <v>1804.0563519999998</v>
      </c>
      <c r="L411" s="23">
        <f>F411 * G411 * 43.654535</f>
        <v>1222.32698</v>
      </c>
      <c r="M411" s="23">
        <f>F411 * G411 * 13.535837</f>
        <v>379.00343600000002</v>
      </c>
      <c r="N411" s="29">
        <f>SUM(H411:M411)</f>
        <v>12808.364799999999</v>
      </c>
      <c r="O411" s="33">
        <v>2.6635483575807483E-2</v>
      </c>
    </row>
    <row r="412" spans="2:15">
      <c r="B412" s="18">
        <v>264</v>
      </c>
      <c r="C412" s="19" t="s">
        <v>1008</v>
      </c>
      <c r="D412" s="20" t="s">
        <v>1009</v>
      </c>
      <c r="E412" s="20" t="s">
        <v>72</v>
      </c>
      <c r="F412" s="21">
        <v>0.28000000000000003</v>
      </c>
      <c r="G412" s="22">
        <v>1</v>
      </c>
      <c r="H412" s="23">
        <f>F412 * G412 * 21867.071538</f>
        <v>6122.7800306400004</v>
      </c>
      <c r="I412" s="23">
        <f>F412 * G412 * 79889.229706</f>
        <v>22368.984317680002</v>
      </c>
      <c r="J412" s="23">
        <f>F412 * G412 * 9290.6462</f>
        <v>2601.380936</v>
      </c>
      <c r="K412" s="23">
        <f>F412 * G412 * 23532.655228</f>
        <v>6589.1434638400005</v>
      </c>
      <c r="L412" s="23">
        <f>F412 * G412 * 14719.722688</f>
        <v>4121.5223526400005</v>
      </c>
      <c r="M412" s="23">
        <f>F412 * G412 * 4943.835132</f>
        <v>1384.2738369600002</v>
      </c>
      <c r="N412" s="29">
        <f>SUM(H412:M412)</f>
        <v>43188.084937760003</v>
      </c>
      <c r="O412" s="33">
        <v>8.9811271383391969E-2</v>
      </c>
    </row>
    <row r="413" spans="2:15" s="15" customFormat="1" ht="12.75">
      <c r="B413" s="16"/>
      <c r="C413" s="17" t="s">
        <v>1010</v>
      </c>
      <c r="D413" s="49" t="s">
        <v>1011</v>
      </c>
      <c r="E413" s="49"/>
      <c r="F413" s="49"/>
      <c r="G413" s="49"/>
      <c r="H413" s="49"/>
      <c r="I413" s="49"/>
      <c r="J413" s="49"/>
      <c r="K413" s="49"/>
      <c r="L413" s="49"/>
      <c r="M413" s="49"/>
      <c r="N413" s="50"/>
      <c r="O413" s="32">
        <v>0</v>
      </c>
    </row>
    <row r="414" spans="2:15">
      <c r="B414" s="18">
        <v>265</v>
      </c>
      <c r="C414" s="19" t="s">
        <v>1012</v>
      </c>
      <c r="D414" s="20" t="s">
        <v>1013</v>
      </c>
      <c r="E414" s="20" t="s">
        <v>924</v>
      </c>
      <c r="F414" s="21">
        <v>7</v>
      </c>
      <c r="G414" s="22">
        <v>1</v>
      </c>
      <c r="H414" s="23">
        <f>F414 * G414 * 744.27633</f>
        <v>5209.9343100000006</v>
      </c>
      <c r="I414" s="23">
        <f>F414 * G414 * 7128.96</f>
        <v>49902.720000000001</v>
      </c>
      <c r="J414" s="23">
        <f>F414 * G414 * 0</f>
        <v>0</v>
      </c>
      <c r="K414" s="23">
        <f>F414 * G414 * 708.551067</f>
        <v>4959.8574689999996</v>
      </c>
      <c r="L414" s="23">
        <f>F414 * G414 * 921.082801</f>
        <v>6447.5796069999997</v>
      </c>
      <c r="M414" s="23">
        <f>F414 * G414 * 148.855266</f>
        <v>1041.986862</v>
      </c>
      <c r="N414" s="29">
        <f>SUM(H414:M414)</f>
        <v>67562.078248000005</v>
      </c>
      <c r="O414" s="33">
        <v>0.14049792097754932</v>
      </c>
    </row>
    <row r="415" spans="2:15">
      <c r="B415" s="18">
        <v>266</v>
      </c>
      <c r="C415" s="19" t="s">
        <v>1014</v>
      </c>
      <c r="D415" s="20" t="s">
        <v>1015</v>
      </c>
      <c r="E415" s="20" t="s">
        <v>930</v>
      </c>
      <c r="F415" s="21">
        <v>7</v>
      </c>
      <c r="G415" s="22">
        <v>1</v>
      </c>
      <c r="H415" s="23">
        <f>F415 * G415 * 1989.790689</f>
        <v>13928.534823</v>
      </c>
      <c r="I415" s="23">
        <f>F415 * G415 * 2729.218351</f>
        <v>19104.528457</v>
      </c>
      <c r="J415" s="23">
        <f>F415 * G415 * 0</f>
        <v>0</v>
      </c>
      <c r="K415" s="23">
        <f>F415 * G415 * 1894.280736</f>
        <v>13259.965151999999</v>
      </c>
      <c r="L415" s="23">
        <f>F415 * G415 * 739.686655</f>
        <v>5177.8065850000003</v>
      </c>
      <c r="M415" s="23">
        <f>F415 * G415 * 397.958138</f>
        <v>2785.7069660000002</v>
      </c>
      <c r="N415" s="29">
        <f>SUM(H415:M415)</f>
        <v>54256.541982999996</v>
      </c>
      <c r="O415" s="33">
        <v>0.11282855036017601</v>
      </c>
    </row>
    <row r="416" spans="2:15" s="12" customFormat="1" ht="15">
      <c r="B416" s="13"/>
      <c r="C416" s="14" t="s">
        <v>1016</v>
      </c>
      <c r="D416" s="47" t="s">
        <v>1017</v>
      </c>
      <c r="E416" s="47"/>
      <c r="F416" s="47"/>
      <c r="G416" s="47"/>
      <c r="H416" s="47"/>
      <c r="I416" s="47"/>
      <c r="J416" s="47"/>
      <c r="K416" s="47"/>
      <c r="L416" s="47"/>
      <c r="M416" s="47"/>
      <c r="N416" s="48"/>
      <c r="O416" s="34"/>
    </row>
    <row r="417" spans="2:15" s="15" customFormat="1" ht="12.75">
      <c r="B417" s="16"/>
      <c r="C417" s="17" t="s">
        <v>1018</v>
      </c>
      <c r="D417" s="49" t="s">
        <v>1019</v>
      </c>
      <c r="E417" s="49"/>
      <c r="F417" s="49"/>
      <c r="G417" s="49"/>
      <c r="H417" s="49"/>
      <c r="I417" s="49"/>
      <c r="J417" s="49"/>
      <c r="K417" s="49"/>
      <c r="L417" s="49"/>
      <c r="M417" s="49"/>
      <c r="N417" s="50"/>
      <c r="O417" s="32"/>
    </row>
    <row r="418" spans="2:15" ht="38.25">
      <c r="B418" s="18">
        <v>267</v>
      </c>
      <c r="C418" s="19" t="s">
        <v>1020</v>
      </c>
      <c r="D418" s="20" t="s">
        <v>1021</v>
      </c>
      <c r="E418" s="20" t="s">
        <v>1022</v>
      </c>
      <c r="F418" s="21">
        <v>6.9160000000000004</v>
      </c>
      <c r="G418" s="22">
        <v>12</v>
      </c>
      <c r="H418" s="23">
        <f>F418 * G418 * 1255.405859</f>
        <v>104188.643050128</v>
      </c>
      <c r="I418" s="23">
        <f>F418 * G418 * 71.47008</f>
        <v>5931.4448793600004</v>
      </c>
      <c r="J418" s="23">
        <f>F418 * G418 * 0</f>
        <v>0</v>
      </c>
      <c r="K418" s="23">
        <f>F418 * G418 * 1195.146377</f>
        <v>99187.588119984008</v>
      </c>
      <c r="L418" s="23">
        <f>F418 * G418 * 292.562418</f>
        <v>24280.340194656001</v>
      </c>
      <c r="M418" s="23">
        <f>F418 * G418 * 251.081172</f>
        <v>20837.728626624001</v>
      </c>
      <c r="N418" s="29">
        <f>SUM(H418:M418)</f>
        <v>254425.74487075201</v>
      </c>
      <c r="O418" s="33">
        <v>0.52908804945714072</v>
      </c>
    </row>
    <row r="419" spans="2:15" ht="39" thickBot="1">
      <c r="B419" s="18">
        <v>268</v>
      </c>
      <c r="C419" s="19" t="s">
        <v>1023</v>
      </c>
      <c r="D419" s="20" t="s">
        <v>1024</v>
      </c>
      <c r="E419" s="20" t="s">
        <v>1022</v>
      </c>
      <c r="F419" s="21">
        <v>9.9160000000000004</v>
      </c>
      <c r="G419" s="22">
        <v>12</v>
      </c>
      <c r="H419" s="23">
        <f>F419 * G419 * 894.476674</f>
        <v>106435.56839260801</v>
      </c>
      <c r="I419" s="23">
        <f>F419 * G419 * 324.864</f>
        <v>38656.217087999998</v>
      </c>
      <c r="J419" s="23">
        <f>F419 * G419 * 0</f>
        <v>0</v>
      </c>
      <c r="K419" s="23">
        <f>F419 * G419 * 851.541794</f>
        <v>101326.661151648</v>
      </c>
      <c r="L419" s="23">
        <f>F419 * G419 * 237.351557999999</f>
        <v>28242.936589535882</v>
      </c>
      <c r="M419" s="23">
        <f>F419 * G419 * 178.895335</f>
        <v>21287.113702319999</v>
      </c>
      <c r="N419" s="29">
        <f>SUM(H419:M419)</f>
        <v>295948.49692411185</v>
      </c>
      <c r="O419" s="38">
        <v>0.61543619753140488</v>
      </c>
    </row>
    <row r="420" spans="2:15" s="24" customFormat="1" ht="20.100000000000001" customHeight="1" thickTop="1" thickBot="1">
      <c r="B420" s="57" t="s">
        <v>1025</v>
      </c>
      <c r="C420" s="57"/>
      <c r="D420" s="57"/>
      <c r="E420" s="57"/>
      <c r="F420" s="57"/>
      <c r="G420" s="57"/>
      <c r="H420" s="25">
        <f t="shared" ref="H420:N420" si="28">SUM(H4:H419)</f>
        <v>8127573.8023573458</v>
      </c>
      <c r="I420" s="25">
        <f t="shared" si="28"/>
        <v>5479348.4746840587</v>
      </c>
      <c r="J420" s="25">
        <f t="shared" si="28"/>
        <v>40422.868585299206</v>
      </c>
      <c r="K420" s="25">
        <f t="shared" si="28"/>
        <v>7747946.0891008461</v>
      </c>
      <c r="L420" s="25">
        <f t="shared" si="28"/>
        <v>2428927.6623217459</v>
      </c>
      <c r="M420" s="25">
        <f t="shared" si="28"/>
        <v>1627719.7672264164</v>
      </c>
      <c r="N420" s="26">
        <f t="shared" si="28"/>
        <v>25451938.664275713</v>
      </c>
      <c r="O420" s="30">
        <v>52.928278109690893</v>
      </c>
    </row>
    <row r="421" spans="2:15" ht="16.5" thickTop="1"/>
  </sheetData>
  <mergeCells count="152">
    <mergeCell ref="D398:N398"/>
    <mergeCell ref="D401:N401"/>
    <mergeCell ref="D409:N409"/>
    <mergeCell ref="D410:N410"/>
    <mergeCell ref="D413:N413"/>
    <mergeCell ref="D416:N416"/>
    <mergeCell ref="D417:N417"/>
    <mergeCell ref="B420:G420"/>
    <mergeCell ref="D365:N365"/>
    <mergeCell ref="D369:N369"/>
    <mergeCell ref="D371:N371"/>
    <mergeCell ref="D374:N374"/>
    <mergeCell ref="D376:N376"/>
    <mergeCell ref="D381:N381"/>
    <mergeCell ref="D387:N387"/>
    <mergeCell ref="D389:N389"/>
    <mergeCell ref="D391:N391"/>
    <mergeCell ref="D340:N340"/>
    <mergeCell ref="D342:N342"/>
    <mergeCell ref="D345:N345"/>
    <mergeCell ref="D349:N349"/>
    <mergeCell ref="D350:N350"/>
    <mergeCell ref="D353:N353"/>
    <mergeCell ref="D361:N361"/>
    <mergeCell ref="D362:N362"/>
    <mergeCell ref="D364:N364"/>
    <mergeCell ref="D322:N322"/>
    <mergeCell ref="D323:N323"/>
    <mergeCell ref="D326:N326"/>
    <mergeCell ref="D327:N327"/>
    <mergeCell ref="D328:N328"/>
    <mergeCell ref="D329:N329"/>
    <mergeCell ref="D333:N333"/>
    <mergeCell ref="D337:N337"/>
    <mergeCell ref="D338:N338"/>
    <mergeCell ref="D267:N267"/>
    <mergeCell ref="D278:N278"/>
    <mergeCell ref="D279:N279"/>
    <mergeCell ref="D283:N283"/>
    <mergeCell ref="D303:N303"/>
    <mergeCell ref="D315:N315"/>
    <mergeCell ref="D316:N316"/>
    <mergeCell ref="D318:N318"/>
    <mergeCell ref="D320:N320"/>
    <mergeCell ref="D238:N238"/>
    <mergeCell ref="D245:N245"/>
    <mergeCell ref="D251:N251"/>
    <mergeCell ref="D257:N257"/>
    <mergeCell ref="D260:N260"/>
    <mergeCell ref="D261:N261"/>
    <mergeCell ref="D263:N263"/>
    <mergeCell ref="D264:N264"/>
    <mergeCell ref="D265:N265"/>
    <mergeCell ref="D216:N216"/>
    <mergeCell ref="D221:N221"/>
    <mergeCell ref="D222:N222"/>
    <mergeCell ref="D226:N226"/>
    <mergeCell ref="D229:N229"/>
    <mergeCell ref="D231:N231"/>
    <mergeCell ref="D232:N232"/>
    <mergeCell ref="D235:N235"/>
    <mergeCell ref="D237:N237"/>
    <mergeCell ref="D192:N192"/>
    <mergeCell ref="D193:N193"/>
    <mergeCell ref="D198:N198"/>
    <mergeCell ref="D200:N200"/>
    <mergeCell ref="D203:N203"/>
    <mergeCell ref="D207:N207"/>
    <mergeCell ref="D208:N208"/>
    <mergeCell ref="D210:N210"/>
    <mergeCell ref="D213:N213"/>
    <mergeCell ref="D162:N162"/>
    <mergeCell ref="D167:N167"/>
    <mergeCell ref="D169:N169"/>
    <mergeCell ref="D170:N170"/>
    <mergeCell ref="D171:N171"/>
    <mergeCell ref="D173:N173"/>
    <mergeCell ref="D176:N176"/>
    <mergeCell ref="D180:N180"/>
    <mergeCell ref="D184:N184"/>
    <mergeCell ref="D141:N141"/>
    <mergeCell ref="D142:N142"/>
    <mergeCell ref="D149:N149"/>
    <mergeCell ref="D150:N150"/>
    <mergeCell ref="D152:N152"/>
    <mergeCell ref="D155:N155"/>
    <mergeCell ref="D156:N156"/>
    <mergeCell ref="D159:N159"/>
    <mergeCell ref="D161:N161"/>
    <mergeCell ref="D125:N125"/>
    <mergeCell ref="D127:N127"/>
    <mergeCell ref="D129:N129"/>
    <mergeCell ref="D131:N131"/>
    <mergeCell ref="D132:N132"/>
    <mergeCell ref="D133:N133"/>
    <mergeCell ref="D135:N135"/>
    <mergeCell ref="D137:N137"/>
    <mergeCell ref="D139:N139"/>
    <mergeCell ref="D110:N110"/>
    <mergeCell ref="D111:N111"/>
    <mergeCell ref="D114:N114"/>
    <mergeCell ref="D115:N115"/>
    <mergeCell ref="D117:N117"/>
    <mergeCell ref="D119:N119"/>
    <mergeCell ref="D120:N120"/>
    <mergeCell ref="D122:N122"/>
    <mergeCell ref="D124:N124"/>
    <mergeCell ref="D92:N92"/>
    <mergeCell ref="D94:N94"/>
    <mergeCell ref="D96:N96"/>
    <mergeCell ref="D97:N97"/>
    <mergeCell ref="D100:N100"/>
    <mergeCell ref="D101:N101"/>
    <mergeCell ref="D103:N103"/>
    <mergeCell ref="D105:N105"/>
    <mergeCell ref="D109:N109"/>
    <mergeCell ref="D55:N55"/>
    <mergeCell ref="D57:N57"/>
    <mergeCell ref="D60:N60"/>
    <mergeCell ref="D63:N63"/>
    <mergeCell ref="D65:N65"/>
    <mergeCell ref="D69:N69"/>
    <mergeCell ref="D70:N70"/>
    <mergeCell ref="D83:N83"/>
    <mergeCell ref="D90:N90"/>
    <mergeCell ref="D41:N41"/>
    <mergeCell ref="D43:N43"/>
    <mergeCell ref="D45:N45"/>
    <mergeCell ref="D46:N46"/>
    <mergeCell ref="D48:N48"/>
    <mergeCell ref="D50:N50"/>
    <mergeCell ref="D51:N51"/>
    <mergeCell ref="D52:N52"/>
    <mergeCell ref="D54:N54"/>
    <mergeCell ref="D23:N23"/>
    <mergeCell ref="D24:N24"/>
    <mergeCell ref="D26:N26"/>
    <mergeCell ref="D27:N27"/>
    <mergeCell ref="D30:N30"/>
    <mergeCell ref="D31:N31"/>
    <mergeCell ref="D33:N33"/>
    <mergeCell ref="D38:N38"/>
    <mergeCell ref="D39:N39"/>
    <mergeCell ref="B2:K3"/>
    <mergeCell ref="L2:M2"/>
    <mergeCell ref="L3:M3"/>
    <mergeCell ref="D4:N4"/>
    <mergeCell ref="D5:N5"/>
    <mergeCell ref="D7:N7"/>
    <mergeCell ref="D10:N10"/>
    <mergeCell ref="D18:N18"/>
    <mergeCell ref="D20:N20"/>
  </mergeCells>
  <pageMargins left="0.7" right="0.7" top="0.75" bottom="0.75" header="0.3" footer="0.3"/>
  <pageSetup paperSize="9" fitToHeight="0" orientation="landscape" horizontalDpi="4294967295" verticalDpi="4294967295" r:id="rId1"/>
  <headerFooter>
    <oddHeader>&amp;C&amp;KCCCCCC&amp;"Arial"1.7. МКД с лифтами, без мусоропровода, с газоснабжением, с уборкой мест общего пользования и придомовой территории</oddHeader>
    <oddFooter>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1.7. МКД с лифтами, без мусоропровода, с газоснабжением, с уборкой мест общего пользования и придомовой территории</dc:title>
  <dc:creator/>
  <cp:lastModifiedBy/>
  <cp:lastPrinted>2024-11-18T09:44:58Z</cp:lastPrinted>
  <dcterms:created xsi:type="dcterms:W3CDTF">2024-11-18T09:44:58Z</dcterms:created>
  <dcterms:modified xsi:type="dcterms:W3CDTF">2024-11-19T10:32:35Z</dcterms:modified>
</cp:coreProperties>
</file>