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7145" yWindow="-300" windowWidth="18825" windowHeight="12315" tabRatio="987" activeTab="1"/>
  </bookViews>
  <sheets>
    <sheet name="категории 2024" sheetId="1" r:id="rId1"/>
    <sheet name="уборочная 2024" sheetId="2" r:id="rId2"/>
  </sheets>
  <calcPr calcId="124519"/>
</workbook>
</file>

<file path=xl/calcChain.xml><?xml version="1.0" encoding="utf-8"?>
<calcChain xmlns="http://schemas.openxmlformats.org/spreadsheetml/2006/main">
  <c r="A228" i="2"/>
  <c r="L46" i="1" l="1"/>
  <c r="E228" i="2"/>
  <c r="F228"/>
  <c r="G228"/>
  <c r="H228"/>
  <c r="I228"/>
  <c r="J228"/>
  <c r="K228"/>
  <c r="L228"/>
  <c r="M228"/>
  <c r="N228"/>
  <c r="O228"/>
  <c r="P228"/>
  <c r="Q228"/>
  <c r="R228"/>
  <c r="D228"/>
  <c r="N228" i="1"/>
  <c r="L13"/>
  <c r="H228"/>
  <c r="I228"/>
  <c r="J228"/>
  <c r="K228"/>
  <c r="L228"/>
  <c r="M228"/>
  <c r="O228"/>
  <c r="G228"/>
  <c r="G222"/>
  <c r="G218"/>
  <c r="G217"/>
  <c r="A228"/>
  <c r="P227" i="2" l="1"/>
  <c r="O227"/>
  <c r="N227"/>
  <c r="M227"/>
  <c r="D227"/>
  <c r="Q226"/>
  <c r="R226" s="1"/>
  <c r="L226"/>
  <c r="K226"/>
  <c r="J226"/>
  <c r="I226"/>
  <c r="H226"/>
  <c r="G226"/>
  <c r="F226"/>
  <c r="E226"/>
  <c r="Q225"/>
  <c r="R225" s="1"/>
  <c r="L225"/>
  <c r="K225"/>
  <c r="J225"/>
  <c r="I225"/>
  <c r="H225"/>
  <c r="G225"/>
  <c r="F225"/>
  <c r="E225"/>
  <c r="Q224"/>
  <c r="L224"/>
  <c r="K224"/>
  <c r="J224"/>
  <c r="I224"/>
  <c r="H224"/>
  <c r="G224"/>
  <c r="F224"/>
  <c r="E224"/>
  <c r="P222"/>
  <c r="O222"/>
  <c r="N222"/>
  <c r="M222"/>
  <c r="Q221"/>
  <c r="R221" s="1"/>
  <c r="L221"/>
  <c r="K221"/>
  <c r="J221"/>
  <c r="I221"/>
  <c r="H221"/>
  <c r="G221"/>
  <c r="F221"/>
  <c r="E221"/>
  <c r="Q220"/>
  <c r="Q222" s="1"/>
  <c r="L220"/>
  <c r="K220"/>
  <c r="J220"/>
  <c r="I220"/>
  <c r="I222" s="1"/>
  <c r="H220"/>
  <c r="G220"/>
  <c r="F220"/>
  <c r="E220"/>
  <c r="E222" s="1"/>
  <c r="A217"/>
  <c r="P216"/>
  <c r="O216"/>
  <c r="N216"/>
  <c r="M216"/>
  <c r="D216"/>
  <c r="Q215"/>
  <c r="R215" s="1"/>
  <c r="L215"/>
  <c r="K215"/>
  <c r="J215"/>
  <c r="I215"/>
  <c r="H215"/>
  <c r="G215"/>
  <c r="F215"/>
  <c r="E215"/>
  <c r="Q214"/>
  <c r="R214" s="1"/>
  <c r="L214"/>
  <c r="K214"/>
  <c r="J214"/>
  <c r="I214"/>
  <c r="H214"/>
  <c r="G214"/>
  <c r="F214"/>
  <c r="E214"/>
  <c r="Q213"/>
  <c r="R213" s="1"/>
  <c r="L213"/>
  <c r="K213"/>
  <c r="J213"/>
  <c r="I213"/>
  <c r="H213"/>
  <c r="G213"/>
  <c r="F213"/>
  <c r="E213"/>
  <c r="Q212"/>
  <c r="R212" s="1"/>
  <c r="L212"/>
  <c r="K212"/>
  <c r="J212"/>
  <c r="I212"/>
  <c r="H212"/>
  <c r="G212"/>
  <c r="F212"/>
  <c r="E212"/>
  <c r="Q211"/>
  <c r="R211" s="1"/>
  <c r="L211"/>
  <c r="K211"/>
  <c r="J211"/>
  <c r="I211"/>
  <c r="H211"/>
  <c r="G211"/>
  <c r="F211"/>
  <c r="E211"/>
  <c r="Q210"/>
  <c r="R210" s="1"/>
  <c r="L210"/>
  <c r="K210"/>
  <c r="J210"/>
  <c r="I210"/>
  <c r="H210"/>
  <c r="G210"/>
  <c r="F210"/>
  <c r="E210"/>
  <c r="Q209"/>
  <c r="R209" s="1"/>
  <c r="L209"/>
  <c r="K209"/>
  <c r="J209"/>
  <c r="I209"/>
  <c r="H209"/>
  <c r="G209"/>
  <c r="F209"/>
  <c r="E209"/>
  <c r="Q208"/>
  <c r="R208" s="1"/>
  <c r="L208"/>
  <c r="K208"/>
  <c r="J208"/>
  <c r="I208"/>
  <c r="H208"/>
  <c r="G208"/>
  <c r="F208"/>
  <c r="E208"/>
  <c r="Q207"/>
  <c r="R207" s="1"/>
  <c r="L207"/>
  <c r="K207"/>
  <c r="J207"/>
  <c r="I207"/>
  <c r="H207"/>
  <c r="G207"/>
  <c r="F207"/>
  <c r="E207"/>
  <c r="Q206"/>
  <c r="R206" s="1"/>
  <c r="L206"/>
  <c r="K206"/>
  <c r="J206"/>
  <c r="I206"/>
  <c r="H206"/>
  <c r="G206"/>
  <c r="F206"/>
  <c r="E206"/>
  <c r="Q205"/>
  <c r="R205" s="1"/>
  <c r="L205"/>
  <c r="K205"/>
  <c r="J205"/>
  <c r="I205"/>
  <c r="H205"/>
  <c r="G205"/>
  <c r="F205"/>
  <c r="E205"/>
  <c r="Q204"/>
  <c r="R204" s="1"/>
  <c r="L204"/>
  <c r="K204"/>
  <c r="J204"/>
  <c r="I204"/>
  <c r="H204"/>
  <c r="G204"/>
  <c r="F204"/>
  <c r="E204"/>
  <c r="Q203"/>
  <c r="R203" s="1"/>
  <c r="L203"/>
  <c r="K203"/>
  <c r="J203"/>
  <c r="I203"/>
  <c r="H203"/>
  <c r="G203"/>
  <c r="F203"/>
  <c r="E203"/>
  <c r="Q202"/>
  <c r="R202" s="1"/>
  <c r="L202"/>
  <c r="K202"/>
  <c r="J202"/>
  <c r="I202"/>
  <c r="H202"/>
  <c r="G202"/>
  <c r="F202"/>
  <c r="E202"/>
  <c r="Q201"/>
  <c r="R201" s="1"/>
  <c r="L201"/>
  <c r="K201"/>
  <c r="J201"/>
  <c r="I201"/>
  <c r="H201"/>
  <c r="G201"/>
  <c r="F201"/>
  <c r="E201"/>
  <c r="Q200"/>
  <c r="R200" s="1"/>
  <c r="L200"/>
  <c r="K200"/>
  <c r="J200"/>
  <c r="I200"/>
  <c r="H200"/>
  <c r="G200"/>
  <c r="F200"/>
  <c r="E200"/>
  <c r="Q199"/>
  <c r="R199" s="1"/>
  <c r="L199"/>
  <c r="K199"/>
  <c r="J199"/>
  <c r="I199"/>
  <c r="H199"/>
  <c r="G199"/>
  <c r="F199"/>
  <c r="E199"/>
  <c r="Q198"/>
  <c r="R198" s="1"/>
  <c r="L198"/>
  <c r="K198"/>
  <c r="J198"/>
  <c r="I198"/>
  <c r="H198"/>
  <c r="G198"/>
  <c r="F198"/>
  <c r="E198"/>
  <c r="Q197"/>
  <c r="R197" s="1"/>
  <c r="L197"/>
  <c r="K197"/>
  <c r="J197"/>
  <c r="I197"/>
  <c r="H197"/>
  <c r="G197"/>
  <c r="F197"/>
  <c r="E197"/>
  <c r="Q196"/>
  <c r="R196" s="1"/>
  <c r="L196"/>
  <c r="K196"/>
  <c r="J196"/>
  <c r="I196"/>
  <c r="H196"/>
  <c r="G196"/>
  <c r="F196"/>
  <c r="E196"/>
  <c r="Q195"/>
  <c r="R195" s="1"/>
  <c r="L195"/>
  <c r="K195"/>
  <c r="J195"/>
  <c r="I195"/>
  <c r="H195"/>
  <c r="G195"/>
  <c r="F195"/>
  <c r="E195"/>
  <c r="Q194"/>
  <c r="R194" s="1"/>
  <c r="L194"/>
  <c r="K194"/>
  <c r="J194"/>
  <c r="I194"/>
  <c r="H194"/>
  <c r="G194"/>
  <c r="F194"/>
  <c r="E194"/>
  <c r="Q193"/>
  <c r="R193" s="1"/>
  <c r="L193"/>
  <c r="K193"/>
  <c r="J193"/>
  <c r="I193"/>
  <c r="H193"/>
  <c r="G193"/>
  <c r="F193"/>
  <c r="E193"/>
  <c r="Q192"/>
  <c r="R192" s="1"/>
  <c r="L192"/>
  <c r="K192"/>
  <c r="J192"/>
  <c r="I192"/>
  <c r="H192"/>
  <c r="G192"/>
  <c r="F192"/>
  <c r="E192"/>
  <c r="Q191"/>
  <c r="R191" s="1"/>
  <c r="L191"/>
  <c r="K191"/>
  <c r="J191"/>
  <c r="I191"/>
  <c r="H191"/>
  <c r="G191"/>
  <c r="F191"/>
  <c r="E191"/>
  <c r="Q190"/>
  <c r="R190" s="1"/>
  <c r="L190"/>
  <c r="K190"/>
  <c r="J190"/>
  <c r="I190"/>
  <c r="H190"/>
  <c r="G190"/>
  <c r="F190"/>
  <c r="E190"/>
  <c r="Q189"/>
  <c r="R189" s="1"/>
  <c r="L189"/>
  <c r="K189"/>
  <c r="J189"/>
  <c r="I189"/>
  <c r="H189"/>
  <c r="G189"/>
  <c r="F189"/>
  <c r="E189"/>
  <c r="Q188"/>
  <c r="R188" s="1"/>
  <c r="L188"/>
  <c r="K188"/>
  <c r="J188"/>
  <c r="I188"/>
  <c r="H188"/>
  <c r="G188"/>
  <c r="F188"/>
  <c r="E188"/>
  <c r="Q187"/>
  <c r="R187" s="1"/>
  <c r="L187"/>
  <c r="K187"/>
  <c r="J187"/>
  <c r="I187"/>
  <c r="H187"/>
  <c r="G187"/>
  <c r="F187"/>
  <c r="E187"/>
  <c r="Q186"/>
  <c r="R186" s="1"/>
  <c r="L186"/>
  <c r="K186"/>
  <c r="J186"/>
  <c r="I186"/>
  <c r="H186"/>
  <c r="G186"/>
  <c r="F186"/>
  <c r="E186"/>
  <c r="Q185"/>
  <c r="R185" s="1"/>
  <c r="L185"/>
  <c r="K185"/>
  <c r="J185"/>
  <c r="I185"/>
  <c r="H185"/>
  <c r="G185"/>
  <c r="F185"/>
  <c r="E185"/>
  <c r="Q184"/>
  <c r="R184" s="1"/>
  <c r="L184"/>
  <c r="K184"/>
  <c r="J184"/>
  <c r="I184"/>
  <c r="H184"/>
  <c r="G184"/>
  <c r="F184"/>
  <c r="E184"/>
  <c r="Q183"/>
  <c r="R183" s="1"/>
  <c r="L183"/>
  <c r="K183"/>
  <c r="J183"/>
  <c r="I183"/>
  <c r="H183"/>
  <c r="G183"/>
  <c r="F183"/>
  <c r="E183"/>
  <c r="Q182"/>
  <c r="R182" s="1"/>
  <c r="L182"/>
  <c r="K182"/>
  <c r="J182"/>
  <c r="I182"/>
  <c r="H182"/>
  <c r="G182"/>
  <c r="F182"/>
  <c r="E182"/>
  <c r="Q181"/>
  <c r="R181" s="1"/>
  <c r="L181"/>
  <c r="K181"/>
  <c r="J181"/>
  <c r="I181"/>
  <c r="H181"/>
  <c r="G181"/>
  <c r="F181"/>
  <c r="E181"/>
  <c r="Q180"/>
  <c r="R180" s="1"/>
  <c r="L180"/>
  <c r="K180"/>
  <c r="J180"/>
  <c r="I180"/>
  <c r="H180"/>
  <c r="G180"/>
  <c r="F180"/>
  <c r="E180"/>
  <c r="Q179"/>
  <c r="R179" s="1"/>
  <c r="L179"/>
  <c r="K179"/>
  <c r="J179"/>
  <c r="I179"/>
  <c r="H179"/>
  <c r="G179"/>
  <c r="F179"/>
  <c r="E179"/>
  <c r="Q178"/>
  <c r="R178" s="1"/>
  <c r="L178"/>
  <c r="K178"/>
  <c r="J178"/>
  <c r="I178"/>
  <c r="H178"/>
  <c r="G178"/>
  <c r="F178"/>
  <c r="E178"/>
  <c r="Q177"/>
  <c r="R177" s="1"/>
  <c r="L177"/>
  <c r="K177"/>
  <c r="J177"/>
  <c r="I177"/>
  <c r="H177"/>
  <c r="G177"/>
  <c r="F177"/>
  <c r="E177"/>
  <c r="Q176"/>
  <c r="R176" s="1"/>
  <c r="L176"/>
  <c r="K176"/>
  <c r="J176"/>
  <c r="I176"/>
  <c r="H176"/>
  <c r="G176"/>
  <c r="F176"/>
  <c r="E176"/>
  <c r="Q175"/>
  <c r="R175" s="1"/>
  <c r="L175"/>
  <c r="K175"/>
  <c r="J175"/>
  <c r="I175"/>
  <c r="H175"/>
  <c r="G175"/>
  <c r="F175"/>
  <c r="E175"/>
  <c r="Q174"/>
  <c r="R174" s="1"/>
  <c r="L174"/>
  <c r="K174"/>
  <c r="J174"/>
  <c r="I174"/>
  <c r="H174"/>
  <c r="G174"/>
  <c r="F174"/>
  <c r="E174"/>
  <c r="R173"/>
  <c r="Q173"/>
  <c r="L173"/>
  <c r="K173"/>
  <c r="J173"/>
  <c r="I173"/>
  <c r="H173"/>
  <c r="G173"/>
  <c r="F173"/>
  <c r="E173"/>
  <c r="Q172"/>
  <c r="R172" s="1"/>
  <c r="L172"/>
  <c r="K172"/>
  <c r="J172"/>
  <c r="I172"/>
  <c r="H172"/>
  <c r="G172"/>
  <c r="F172"/>
  <c r="E172"/>
  <c r="Q171"/>
  <c r="R171" s="1"/>
  <c r="L171"/>
  <c r="K171"/>
  <c r="J171"/>
  <c r="I171"/>
  <c r="H171"/>
  <c r="G171"/>
  <c r="F171"/>
  <c r="E171"/>
  <c r="Q170"/>
  <c r="R170" s="1"/>
  <c r="L170"/>
  <c r="K170"/>
  <c r="J170"/>
  <c r="I170"/>
  <c r="H170"/>
  <c r="G170"/>
  <c r="F170"/>
  <c r="E170"/>
  <c r="Q169"/>
  <c r="R169" s="1"/>
  <c r="L169"/>
  <c r="K169"/>
  <c r="J169"/>
  <c r="I169"/>
  <c r="H169"/>
  <c r="G169"/>
  <c r="F169"/>
  <c r="E169"/>
  <c r="Q168"/>
  <c r="R168" s="1"/>
  <c r="L168"/>
  <c r="K168"/>
  <c r="J168"/>
  <c r="I168"/>
  <c r="H168"/>
  <c r="G168"/>
  <c r="F168"/>
  <c r="E168"/>
  <c r="Q167"/>
  <c r="R167" s="1"/>
  <c r="L167"/>
  <c r="K167"/>
  <c r="J167"/>
  <c r="I167"/>
  <c r="H167"/>
  <c r="G167"/>
  <c r="F167"/>
  <c r="E167"/>
  <c r="Q166"/>
  <c r="R166" s="1"/>
  <c r="L166"/>
  <c r="K166"/>
  <c r="J166"/>
  <c r="I166"/>
  <c r="H166"/>
  <c r="G166"/>
  <c r="F166"/>
  <c r="E166"/>
  <c r="Q165"/>
  <c r="R165" s="1"/>
  <c r="L165"/>
  <c r="K165"/>
  <c r="J165"/>
  <c r="I165"/>
  <c r="H165"/>
  <c r="G165"/>
  <c r="F165"/>
  <c r="E165"/>
  <c r="Q164"/>
  <c r="R164" s="1"/>
  <c r="L164"/>
  <c r="K164"/>
  <c r="J164"/>
  <c r="I164"/>
  <c r="H164"/>
  <c r="G164"/>
  <c r="F164"/>
  <c r="E164"/>
  <c r="Q163"/>
  <c r="R163" s="1"/>
  <c r="L163"/>
  <c r="K163"/>
  <c r="J163"/>
  <c r="I163"/>
  <c r="H163"/>
  <c r="G163"/>
  <c r="F163"/>
  <c r="E163"/>
  <c r="Q162"/>
  <c r="R162" s="1"/>
  <c r="L162"/>
  <c r="K162"/>
  <c r="J162"/>
  <c r="I162"/>
  <c r="H162"/>
  <c r="G162"/>
  <c r="F162"/>
  <c r="E162"/>
  <c r="Q161"/>
  <c r="R161" s="1"/>
  <c r="L161"/>
  <c r="K161"/>
  <c r="J161"/>
  <c r="I161"/>
  <c r="H161"/>
  <c r="G161"/>
  <c r="F161"/>
  <c r="E161"/>
  <c r="Q160"/>
  <c r="R160" s="1"/>
  <c r="L160"/>
  <c r="K160"/>
  <c r="J160"/>
  <c r="I160"/>
  <c r="H160"/>
  <c r="G160"/>
  <c r="F160"/>
  <c r="E160"/>
  <c r="Q159"/>
  <c r="R159" s="1"/>
  <c r="L159"/>
  <c r="K159"/>
  <c r="J159"/>
  <c r="I159"/>
  <c r="H159"/>
  <c r="G159"/>
  <c r="F159"/>
  <c r="E159"/>
  <c r="Q158"/>
  <c r="R158" s="1"/>
  <c r="L158"/>
  <c r="K158"/>
  <c r="J158"/>
  <c r="I158"/>
  <c r="H158"/>
  <c r="G158"/>
  <c r="F158"/>
  <c r="E158"/>
  <c r="Q157"/>
  <c r="R157" s="1"/>
  <c r="L157"/>
  <c r="K157"/>
  <c r="J157"/>
  <c r="I157"/>
  <c r="H157"/>
  <c r="G157"/>
  <c r="F157"/>
  <c r="E157"/>
  <c r="Q156"/>
  <c r="R156" s="1"/>
  <c r="L156"/>
  <c r="K156"/>
  <c r="J156"/>
  <c r="I156"/>
  <c r="H156"/>
  <c r="G156"/>
  <c r="F156"/>
  <c r="E156"/>
  <c r="Q155"/>
  <c r="R155" s="1"/>
  <c r="L155"/>
  <c r="K155"/>
  <c r="J155"/>
  <c r="I155"/>
  <c r="H155"/>
  <c r="G155"/>
  <c r="F155"/>
  <c r="E155"/>
  <c r="Q154"/>
  <c r="R154" s="1"/>
  <c r="L154"/>
  <c r="K154"/>
  <c r="J154"/>
  <c r="I154"/>
  <c r="H154"/>
  <c r="G154"/>
  <c r="F154"/>
  <c r="E154"/>
  <c r="Q153"/>
  <c r="R153" s="1"/>
  <c r="L153"/>
  <c r="K153"/>
  <c r="J153"/>
  <c r="I153"/>
  <c r="H153"/>
  <c r="G153"/>
  <c r="F153"/>
  <c r="E153"/>
  <c r="Q152"/>
  <c r="R152" s="1"/>
  <c r="L152"/>
  <c r="K152"/>
  <c r="J152"/>
  <c r="I152"/>
  <c r="H152"/>
  <c r="G152"/>
  <c r="F152"/>
  <c r="E152"/>
  <c r="Q151"/>
  <c r="R151" s="1"/>
  <c r="L151"/>
  <c r="K151"/>
  <c r="J151"/>
  <c r="I151"/>
  <c r="H151"/>
  <c r="G151"/>
  <c r="F151"/>
  <c r="E151"/>
  <c r="Q150"/>
  <c r="R150" s="1"/>
  <c r="L150"/>
  <c r="K150"/>
  <c r="J150"/>
  <c r="I150"/>
  <c r="H150"/>
  <c r="G150"/>
  <c r="F150"/>
  <c r="E150"/>
  <c r="Q149"/>
  <c r="R149" s="1"/>
  <c r="L149"/>
  <c r="K149"/>
  <c r="J149"/>
  <c r="I149"/>
  <c r="H149"/>
  <c r="G149"/>
  <c r="F149"/>
  <c r="E149"/>
  <c r="Q148"/>
  <c r="R148" s="1"/>
  <c r="L148"/>
  <c r="K148"/>
  <c r="J148"/>
  <c r="I148"/>
  <c r="H148"/>
  <c r="G148"/>
  <c r="F148"/>
  <c r="E148"/>
  <c r="Q147"/>
  <c r="R147" s="1"/>
  <c r="L147"/>
  <c r="K147"/>
  <c r="J147"/>
  <c r="I147"/>
  <c r="H147"/>
  <c r="G147"/>
  <c r="F147"/>
  <c r="E147"/>
  <c r="Q146"/>
  <c r="R146" s="1"/>
  <c r="L146"/>
  <c r="K146"/>
  <c r="J146"/>
  <c r="I146"/>
  <c r="H146"/>
  <c r="G146"/>
  <c r="F146"/>
  <c r="E146"/>
  <c r="Q145"/>
  <c r="R145" s="1"/>
  <c r="L145"/>
  <c r="K145"/>
  <c r="J145"/>
  <c r="I145"/>
  <c r="H145"/>
  <c r="G145"/>
  <c r="F145"/>
  <c r="E145"/>
  <c r="Q144"/>
  <c r="R144" s="1"/>
  <c r="L144"/>
  <c r="K144"/>
  <c r="J144"/>
  <c r="I144"/>
  <c r="H144"/>
  <c r="G144"/>
  <c r="F144"/>
  <c r="E144"/>
  <c r="Q143"/>
  <c r="R143" s="1"/>
  <c r="L143"/>
  <c r="K143"/>
  <c r="J143"/>
  <c r="I143"/>
  <c r="H143"/>
  <c r="G143"/>
  <c r="F143"/>
  <c r="E143"/>
  <c r="Q142"/>
  <c r="R142" s="1"/>
  <c r="L142"/>
  <c r="K142"/>
  <c r="J142"/>
  <c r="I142"/>
  <c r="H142"/>
  <c r="G142"/>
  <c r="F142"/>
  <c r="E142"/>
  <c r="Q141"/>
  <c r="R141" s="1"/>
  <c r="L141"/>
  <c r="K141"/>
  <c r="J141"/>
  <c r="I141"/>
  <c r="H141"/>
  <c r="G141"/>
  <c r="F141"/>
  <c r="E141"/>
  <c r="Q140"/>
  <c r="R140" s="1"/>
  <c r="L140"/>
  <c r="K140"/>
  <c r="J140"/>
  <c r="I140"/>
  <c r="H140"/>
  <c r="G140"/>
  <c r="F140"/>
  <c r="E140"/>
  <c r="Q139"/>
  <c r="R139" s="1"/>
  <c r="L139"/>
  <c r="K139"/>
  <c r="J139"/>
  <c r="I139"/>
  <c r="H139"/>
  <c r="G139"/>
  <c r="F139"/>
  <c r="E139"/>
  <c r="Q138"/>
  <c r="R138" s="1"/>
  <c r="L138"/>
  <c r="K138"/>
  <c r="J138"/>
  <c r="I138"/>
  <c r="H138"/>
  <c r="G138"/>
  <c r="F138"/>
  <c r="E138"/>
  <c r="Q137"/>
  <c r="R137" s="1"/>
  <c r="L137"/>
  <c r="K137"/>
  <c r="J137"/>
  <c r="I137"/>
  <c r="H137"/>
  <c r="G137"/>
  <c r="F137"/>
  <c r="E137"/>
  <c r="Q136"/>
  <c r="R136" s="1"/>
  <c r="L136"/>
  <c r="K136"/>
  <c r="J136"/>
  <c r="I136"/>
  <c r="H136"/>
  <c r="G136"/>
  <c r="F136"/>
  <c r="E136"/>
  <c r="Q135"/>
  <c r="R135" s="1"/>
  <c r="L135"/>
  <c r="K135"/>
  <c r="J135"/>
  <c r="I135"/>
  <c r="H135"/>
  <c r="G135"/>
  <c r="F135"/>
  <c r="E135"/>
  <c r="Q134"/>
  <c r="R134" s="1"/>
  <c r="L134"/>
  <c r="K134"/>
  <c r="J134"/>
  <c r="I134"/>
  <c r="H134"/>
  <c r="G134"/>
  <c r="F134"/>
  <c r="E134"/>
  <c r="Q133"/>
  <c r="R133" s="1"/>
  <c r="L133"/>
  <c r="K133"/>
  <c r="J133"/>
  <c r="I133"/>
  <c r="H133"/>
  <c r="G133"/>
  <c r="F133"/>
  <c r="E133"/>
  <c r="Q132"/>
  <c r="R132" s="1"/>
  <c r="L132"/>
  <c r="K132"/>
  <c r="J132"/>
  <c r="I132"/>
  <c r="H132"/>
  <c r="G132"/>
  <c r="F132"/>
  <c r="E132"/>
  <c r="Q131"/>
  <c r="R131" s="1"/>
  <c r="L131"/>
  <c r="K131"/>
  <c r="J131"/>
  <c r="I131"/>
  <c r="H131"/>
  <c r="G131"/>
  <c r="F131"/>
  <c r="E131"/>
  <c r="Q130"/>
  <c r="R130" s="1"/>
  <c r="L130"/>
  <c r="K130"/>
  <c r="J130"/>
  <c r="I130"/>
  <c r="H130"/>
  <c r="G130"/>
  <c r="F130"/>
  <c r="E130"/>
  <c r="Q129"/>
  <c r="R129" s="1"/>
  <c r="L129"/>
  <c r="K129"/>
  <c r="J129"/>
  <c r="I129"/>
  <c r="H129"/>
  <c r="G129"/>
  <c r="F129"/>
  <c r="E129"/>
  <c r="Q128"/>
  <c r="R128" s="1"/>
  <c r="L128"/>
  <c r="K128"/>
  <c r="J128"/>
  <c r="I128"/>
  <c r="H128"/>
  <c r="G128"/>
  <c r="F128"/>
  <c r="E128"/>
  <c r="Q127"/>
  <c r="R127" s="1"/>
  <c r="L127"/>
  <c r="K127"/>
  <c r="J127"/>
  <c r="I127"/>
  <c r="H127"/>
  <c r="G127"/>
  <c r="F127"/>
  <c r="E127"/>
  <c r="Q126"/>
  <c r="R126" s="1"/>
  <c r="L126"/>
  <c r="K126"/>
  <c r="J126"/>
  <c r="I126"/>
  <c r="H126"/>
  <c r="G126"/>
  <c r="F126"/>
  <c r="E126"/>
  <c r="Q125"/>
  <c r="R125" s="1"/>
  <c r="L125"/>
  <c r="K125"/>
  <c r="J125"/>
  <c r="I125"/>
  <c r="H125"/>
  <c r="G125"/>
  <c r="F125"/>
  <c r="E125"/>
  <c r="Q124"/>
  <c r="R124" s="1"/>
  <c r="L124"/>
  <c r="K124"/>
  <c r="J124"/>
  <c r="I124"/>
  <c r="H124"/>
  <c r="G124"/>
  <c r="F124"/>
  <c r="E124"/>
  <c r="Q123"/>
  <c r="R123" s="1"/>
  <c r="L123"/>
  <c r="K123"/>
  <c r="J123"/>
  <c r="I123"/>
  <c r="H123"/>
  <c r="G123"/>
  <c r="F123"/>
  <c r="E123"/>
  <c r="Q122"/>
  <c r="R122" s="1"/>
  <c r="L122"/>
  <c r="K122"/>
  <c r="J122"/>
  <c r="I122"/>
  <c r="H122"/>
  <c r="G122"/>
  <c r="F122"/>
  <c r="E122"/>
  <c r="Q121"/>
  <c r="R121" s="1"/>
  <c r="L121"/>
  <c r="K121"/>
  <c r="J121"/>
  <c r="I121"/>
  <c r="H121"/>
  <c r="G121"/>
  <c r="F121"/>
  <c r="E121"/>
  <c r="Q120"/>
  <c r="R120" s="1"/>
  <c r="L120"/>
  <c r="K120"/>
  <c r="J120"/>
  <c r="I120"/>
  <c r="H120"/>
  <c r="G120"/>
  <c r="F120"/>
  <c r="E120"/>
  <c r="Q119"/>
  <c r="R119" s="1"/>
  <c r="L119"/>
  <c r="K119"/>
  <c r="J119"/>
  <c r="I119"/>
  <c r="H119"/>
  <c r="G119"/>
  <c r="F119"/>
  <c r="E119"/>
  <c r="Q118"/>
  <c r="R118" s="1"/>
  <c r="L118"/>
  <c r="K118"/>
  <c r="J118"/>
  <c r="I118"/>
  <c r="H118"/>
  <c r="G118"/>
  <c r="F118"/>
  <c r="E118"/>
  <c r="Q117"/>
  <c r="R117" s="1"/>
  <c r="L117"/>
  <c r="K117"/>
  <c r="J117"/>
  <c r="I117"/>
  <c r="H117"/>
  <c r="G117"/>
  <c r="F117"/>
  <c r="E117"/>
  <c r="Q116"/>
  <c r="R116" s="1"/>
  <c r="L116"/>
  <c r="K116"/>
  <c r="J116"/>
  <c r="I116"/>
  <c r="H116"/>
  <c r="G116"/>
  <c r="F116"/>
  <c r="E116"/>
  <c r="Q115"/>
  <c r="R115" s="1"/>
  <c r="L115"/>
  <c r="K115"/>
  <c r="J115"/>
  <c r="I115"/>
  <c r="H115"/>
  <c r="G115"/>
  <c r="F115"/>
  <c r="E115"/>
  <c r="Q114"/>
  <c r="R114" s="1"/>
  <c r="L114"/>
  <c r="K114"/>
  <c r="J114"/>
  <c r="I114"/>
  <c r="H114"/>
  <c r="G114"/>
  <c r="F114"/>
  <c r="E114"/>
  <c r="Q113"/>
  <c r="R113" s="1"/>
  <c r="L113"/>
  <c r="K113"/>
  <c r="J113"/>
  <c r="I113"/>
  <c r="H113"/>
  <c r="G113"/>
  <c r="F113"/>
  <c r="E113"/>
  <c r="Q112"/>
  <c r="R112" s="1"/>
  <c r="L112"/>
  <c r="K112"/>
  <c r="J112"/>
  <c r="I112"/>
  <c r="H112"/>
  <c r="G112"/>
  <c r="F112"/>
  <c r="E112"/>
  <c r="Q111"/>
  <c r="R111" s="1"/>
  <c r="L111"/>
  <c r="K111"/>
  <c r="J111"/>
  <c r="I111"/>
  <c r="H111"/>
  <c r="G111"/>
  <c r="F111"/>
  <c r="E111"/>
  <c r="Q110"/>
  <c r="R110" s="1"/>
  <c r="L110"/>
  <c r="K110"/>
  <c r="J110"/>
  <c r="I110"/>
  <c r="H110"/>
  <c r="G110"/>
  <c r="F110"/>
  <c r="E110"/>
  <c r="Q109"/>
  <c r="R109" s="1"/>
  <c r="L109"/>
  <c r="K109"/>
  <c r="J109"/>
  <c r="I109"/>
  <c r="H109"/>
  <c r="G109"/>
  <c r="F109"/>
  <c r="E109"/>
  <c r="Q108"/>
  <c r="R108" s="1"/>
  <c r="L108"/>
  <c r="K108"/>
  <c r="J108"/>
  <c r="I108"/>
  <c r="H108"/>
  <c r="G108"/>
  <c r="F108"/>
  <c r="E108"/>
  <c r="Q107"/>
  <c r="R107" s="1"/>
  <c r="L107"/>
  <c r="K107"/>
  <c r="J107"/>
  <c r="I107"/>
  <c r="H107"/>
  <c r="G107"/>
  <c r="F107"/>
  <c r="E107"/>
  <c r="Q106"/>
  <c r="R106" s="1"/>
  <c r="L106"/>
  <c r="K106"/>
  <c r="J106"/>
  <c r="I106"/>
  <c r="H106"/>
  <c r="G106"/>
  <c r="F106"/>
  <c r="E106"/>
  <c r="Q105"/>
  <c r="R105" s="1"/>
  <c r="L105"/>
  <c r="K105"/>
  <c r="J105"/>
  <c r="I105"/>
  <c r="H105"/>
  <c r="G105"/>
  <c r="F105"/>
  <c r="E105"/>
  <c r="Q104"/>
  <c r="R104" s="1"/>
  <c r="L104"/>
  <c r="K104"/>
  <c r="J104"/>
  <c r="I104"/>
  <c r="H104"/>
  <c r="G104"/>
  <c r="F104"/>
  <c r="E104"/>
  <c r="Q103"/>
  <c r="R103" s="1"/>
  <c r="L103"/>
  <c r="K103"/>
  <c r="J103"/>
  <c r="I103"/>
  <c r="H103"/>
  <c r="G103"/>
  <c r="F103"/>
  <c r="E103"/>
  <c r="Q102"/>
  <c r="R102" s="1"/>
  <c r="L102"/>
  <c r="K102"/>
  <c r="J102"/>
  <c r="I102"/>
  <c r="H102"/>
  <c r="G102"/>
  <c r="F102"/>
  <c r="E102"/>
  <c r="Q101"/>
  <c r="R101" s="1"/>
  <c r="L101"/>
  <c r="K101"/>
  <c r="J101"/>
  <c r="I101"/>
  <c r="H101"/>
  <c r="G101"/>
  <c r="F101"/>
  <c r="E101"/>
  <c r="Q100"/>
  <c r="R100" s="1"/>
  <c r="L100"/>
  <c r="K100"/>
  <c r="J100"/>
  <c r="I100"/>
  <c r="H100"/>
  <c r="G100"/>
  <c r="F100"/>
  <c r="E100"/>
  <c r="Q99"/>
  <c r="R99" s="1"/>
  <c r="L99"/>
  <c r="K99"/>
  <c r="J99"/>
  <c r="I99"/>
  <c r="H99"/>
  <c r="G99"/>
  <c r="F99"/>
  <c r="E99"/>
  <c r="Q98"/>
  <c r="R98" s="1"/>
  <c r="L98"/>
  <c r="K98"/>
  <c r="J98"/>
  <c r="I98"/>
  <c r="H98"/>
  <c r="G98"/>
  <c r="F98"/>
  <c r="E98"/>
  <c r="Q97"/>
  <c r="R97" s="1"/>
  <c r="L97"/>
  <c r="K97"/>
  <c r="J97"/>
  <c r="I97"/>
  <c r="H97"/>
  <c r="G97"/>
  <c r="F97"/>
  <c r="E97"/>
  <c r="Q96"/>
  <c r="R96" s="1"/>
  <c r="L96"/>
  <c r="K96"/>
  <c r="J96"/>
  <c r="I96"/>
  <c r="H96"/>
  <c r="G96"/>
  <c r="F96"/>
  <c r="E96"/>
  <c r="Q95"/>
  <c r="R95" s="1"/>
  <c r="L95"/>
  <c r="K95"/>
  <c r="J95"/>
  <c r="I95"/>
  <c r="H95"/>
  <c r="G95"/>
  <c r="F95"/>
  <c r="E95"/>
  <c r="Q94"/>
  <c r="R94" s="1"/>
  <c r="L94"/>
  <c r="K94"/>
  <c r="J94"/>
  <c r="I94"/>
  <c r="H94"/>
  <c r="G94"/>
  <c r="F94"/>
  <c r="E94"/>
  <c r="Q93"/>
  <c r="R93" s="1"/>
  <c r="L93"/>
  <c r="K93"/>
  <c r="J93"/>
  <c r="I93"/>
  <c r="H93"/>
  <c r="G93"/>
  <c r="F93"/>
  <c r="E93"/>
  <c r="Q92"/>
  <c r="R92" s="1"/>
  <c r="L92"/>
  <c r="K92"/>
  <c r="J92"/>
  <c r="I92"/>
  <c r="H92"/>
  <c r="G92"/>
  <c r="F92"/>
  <c r="E92"/>
  <c r="Q91"/>
  <c r="R91" s="1"/>
  <c r="L91"/>
  <c r="K91"/>
  <c r="J91"/>
  <c r="I91"/>
  <c r="H91"/>
  <c r="G91"/>
  <c r="F91"/>
  <c r="E91"/>
  <c r="Q90"/>
  <c r="L90"/>
  <c r="K90"/>
  <c r="J90"/>
  <c r="I90"/>
  <c r="H90"/>
  <c r="G90"/>
  <c r="F90"/>
  <c r="E90"/>
  <c r="P88"/>
  <c r="P217" s="1"/>
  <c r="O88"/>
  <c r="O217" s="1"/>
  <c r="N88"/>
  <c r="N217" s="1"/>
  <c r="M88"/>
  <c r="M217" s="1"/>
  <c r="D88"/>
  <c r="D217" s="1"/>
  <c r="Q87"/>
  <c r="R87" s="1"/>
  <c r="L87"/>
  <c r="K87"/>
  <c r="J87"/>
  <c r="I87"/>
  <c r="H87"/>
  <c r="G87"/>
  <c r="F87"/>
  <c r="E87"/>
  <c r="Q86"/>
  <c r="R86" s="1"/>
  <c r="L86"/>
  <c r="K86"/>
  <c r="J86"/>
  <c r="I86"/>
  <c r="H86"/>
  <c r="G86"/>
  <c r="F86"/>
  <c r="E86"/>
  <c r="Q85"/>
  <c r="R85" s="1"/>
  <c r="L85"/>
  <c r="K85"/>
  <c r="J85"/>
  <c r="I85"/>
  <c r="H85"/>
  <c r="G85"/>
  <c r="F85"/>
  <c r="E85"/>
  <c r="Q84"/>
  <c r="R84" s="1"/>
  <c r="L84"/>
  <c r="K84"/>
  <c r="J84"/>
  <c r="I84"/>
  <c r="H84"/>
  <c r="G84"/>
  <c r="F84"/>
  <c r="E84"/>
  <c r="Q83"/>
  <c r="R83" s="1"/>
  <c r="L83"/>
  <c r="K83"/>
  <c r="J83"/>
  <c r="I83"/>
  <c r="H83"/>
  <c r="G83"/>
  <c r="F83"/>
  <c r="E83"/>
  <c r="Q82"/>
  <c r="R82" s="1"/>
  <c r="L82"/>
  <c r="K82"/>
  <c r="J82"/>
  <c r="I82"/>
  <c r="H82"/>
  <c r="G82"/>
  <c r="F82"/>
  <c r="E82"/>
  <c r="Q81"/>
  <c r="R81" s="1"/>
  <c r="L81"/>
  <c r="K81"/>
  <c r="J81"/>
  <c r="I81"/>
  <c r="H81"/>
  <c r="G81"/>
  <c r="F81"/>
  <c r="E81"/>
  <c r="Q80"/>
  <c r="R80" s="1"/>
  <c r="L80"/>
  <c r="K80"/>
  <c r="J80"/>
  <c r="I80"/>
  <c r="H80"/>
  <c r="G80"/>
  <c r="F80"/>
  <c r="E80"/>
  <c r="Q79"/>
  <c r="R79" s="1"/>
  <c r="L79"/>
  <c r="K79"/>
  <c r="J79"/>
  <c r="I79"/>
  <c r="H79"/>
  <c r="G79"/>
  <c r="F79"/>
  <c r="E79"/>
  <c r="Q78"/>
  <c r="R78" s="1"/>
  <c r="L78"/>
  <c r="K78"/>
  <c r="J78"/>
  <c r="I78"/>
  <c r="H78"/>
  <c r="G78"/>
  <c r="F78"/>
  <c r="E78"/>
  <c r="Q77"/>
  <c r="R77" s="1"/>
  <c r="L77"/>
  <c r="K77"/>
  <c r="J77"/>
  <c r="I77"/>
  <c r="H77"/>
  <c r="G77"/>
  <c r="F77"/>
  <c r="E77"/>
  <c r="Q76"/>
  <c r="R76" s="1"/>
  <c r="L76"/>
  <c r="K76"/>
  <c r="J76"/>
  <c r="I76"/>
  <c r="H76"/>
  <c r="G76"/>
  <c r="F76"/>
  <c r="E76"/>
  <c r="Q75"/>
  <c r="R75" s="1"/>
  <c r="L75"/>
  <c r="K75"/>
  <c r="J75"/>
  <c r="I75"/>
  <c r="H75"/>
  <c r="G75"/>
  <c r="F75"/>
  <c r="E75"/>
  <c r="Q74"/>
  <c r="R74" s="1"/>
  <c r="L74"/>
  <c r="K74"/>
  <c r="J74"/>
  <c r="I74"/>
  <c r="H74"/>
  <c r="G74"/>
  <c r="F74"/>
  <c r="E74"/>
  <c r="Q73"/>
  <c r="R73" s="1"/>
  <c r="L73"/>
  <c r="K73"/>
  <c r="J73"/>
  <c r="I73"/>
  <c r="H73"/>
  <c r="G73"/>
  <c r="F73"/>
  <c r="E73"/>
  <c r="Q72"/>
  <c r="R72" s="1"/>
  <c r="L72"/>
  <c r="K72"/>
  <c r="J72"/>
  <c r="I72"/>
  <c r="H72"/>
  <c r="G72"/>
  <c r="F72"/>
  <c r="E72"/>
  <c r="Q71"/>
  <c r="R71" s="1"/>
  <c r="L71"/>
  <c r="K71"/>
  <c r="J71"/>
  <c r="I71"/>
  <c r="H71"/>
  <c r="G71"/>
  <c r="F71"/>
  <c r="E71"/>
  <c r="Q70"/>
  <c r="R70" s="1"/>
  <c r="L70"/>
  <c r="K70"/>
  <c r="J70"/>
  <c r="I70"/>
  <c r="H70"/>
  <c r="G70"/>
  <c r="F70"/>
  <c r="E70"/>
  <c r="Q69"/>
  <c r="R69" s="1"/>
  <c r="L69"/>
  <c r="K69"/>
  <c r="J69"/>
  <c r="I69"/>
  <c r="H69"/>
  <c r="G69"/>
  <c r="F69"/>
  <c r="E69"/>
  <c r="Q68"/>
  <c r="R68" s="1"/>
  <c r="L68"/>
  <c r="K68"/>
  <c r="J68"/>
  <c r="I68"/>
  <c r="H68"/>
  <c r="G68"/>
  <c r="F68"/>
  <c r="E68"/>
  <c r="Q67"/>
  <c r="R67" s="1"/>
  <c r="L67"/>
  <c r="K67"/>
  <c r="J67"/>
  <c r="I67"/>
  <c r="H67"/>
  <c r="G67"/>
  <c r="F67"/>
  <c r="E67"/>
  <c r="Q66"/>
  <c r="R66" s="1"/>
  <c r="L66"/>
  <c r="K66"/>
  <c r="J66"/>
  <c r="I66"/>
  <c r="H66"/>
  <c r="G66"/>
  <c r="F66"/>
  <c r="E66"/>
  <c r="Q65"/>
  <c r="R65" s="1"/>
  <c r="L65"/>
  <c r="K65"/>
  <c r="J65"/>
  <c r="I65"/>
  <c r="H65"/>
  <c r="G65"/>
  <c r="F65"/>
  <c r="E65"/>
  <c r="Q64"/>
  <c r="R64" s="1"/>
  <c r="L64"/>
  <c r="K64"/>
  <c r="J64"/>
  <c r="I64"/>
  <c r="H64"/>
  <c r="G64"/>
  <c r="F64"/>
  <c r="E64"/>
  <c r="Q63"/>
  <c r="R63" s="1"/>
  <c r="L63"/>
  <c r="K63"/>
  <c r="J63"/>
  <c r="I63"/>
  <c r="H63"/>
  <c r="G63"/>
  <c r="F63"/>
  <c r="E63"/>
  <c r="Q62"/>
  <c r="R62" s="1"/>
  <c r="L62"/>
  <c r="K62"/>
  <c r="J62"/>
  <c r="I62"/>
  <c r="H62"/>
  <c r="G62"/>
  <c r="F62"/>
  <c r="E62"/>
  <c r="Q61"/>
  <c r="R61" s="1"/>
  <c r="L61"/>
  <c r="K61"/>
  <c r="J61"/>
  <c r="I61"/>
  <c r="H61"/>
  <c r="G61"/>
  <c r="F61"/>
  <c r="E61"/>
  <c r="Q60"/>
  <c r="R60" s="1"/>
  <c r="L60"/>
  <c r="K60"/>
  <c r="J60"/>
  <c r="I60"/>
  <c r="H60"/>
  <c r="G60"/>
  <c r="F60"/>
  <c r="E60"/>
  <c r="Q59"/>
  <c r="R59" s="1"/>
  <c r="L59"/>
  <c r="K59"/>
  <c r="J59"/>
  <c r="I59"/>
  <c r="H59"/>
  <c r="G59"/>
  <c r="F59"/>
  <c r="E59"/>
  <c r="Q58"/>
  <c r="R58" s="1"/>
  <c r="L58"/>
  <c r="K58"/>
  <c r="J58"/>
  <c r="I58"/>
  <c r="H58"/>
  <c r="G58"/>
  <c r="F58"/>
  <c r="E58"/>
  <c r="Q57"/>
  <c r="R57" s="1"/>
  <c r="L57"/>
  <c r="K57"/>
  <c r="J57"/>
  <c r="I57"/>
  <c r="H57"/>
  <c r="G57"/>
  <c r="F57"/>
  <c r="E57"/>
  <c r="Q56"/>
  <c r="R56" s="1"/>
  <c r="L56"/>
  <c r="K56"/>
  <c r="J56"/>
  <c r="I56"/>
  <c r="H56"/>
  <c r="G56"/>
  <c r="F56"/>
  <c r="E56"/>
  <c r="Q55"/>
  <c r="R55" s="1"/>
  <c r="L55"/>
  <c r="K55"/>
  <c r="J55"/>
  <c r="I55"/>
  <c r="H55"/>
  <c r="G55"/>
  <c r="F55"/>
  <c r="E55"/>
  <c r="Q54"/>
  <c r="R54" s="1"/>
  <c r="L54"/>
  <c r="K54"/>
  <c r="J54"/>
  <c r="I54"/>
  <c r="H54"/>
  <c r="G54"/>
  <c r="F54"/>
  <c r="E54"/>
  <c r="Q53"/>
  <c r="R53" s="1"/>
  <c r="L53"/>
  <c r="K53"/>
  <c r="J53"/>
  <c r="I53"/>
  <c r="H53"/>
  <c r="G53"/>
  <c r="F53"/>
  <c r="E53"/>
  <c r="Q52"/>
  <c r="R52" s="1"/>
  <c r="L52"/>
  <c r="K52"/>
  <c r="J52"/>
  <c r="I52"/>
  <c r="H52"/>
  <c r="G52"/>
  <c r="F52"/>
  <c r="E52"/>
  <c r="Q51"/>
  <c r="R51" s="1"/>
  <c r="L51"/>
  <c r="K51"/>
  <c r="J51"/>
  <c r="I51"/>
  <c r="H51"/>
  <c r="G51"/>
  <c r="F51"/>
  <c r="E51"/>
  <c r="Q50"/>
  <c r="R50" s="1"/>
  <c r="L50"/>
  <c r="K50"/>
  <c r="J50"/>
  <c r="I50"/>
  <c r="H50"/>
  <c r="G50"/>
  <c r="F50"/>
  <c r="E50"/>
  <c r="A47"/>
  <c r="A218" s="1"/>
  <c r="P46"/>
  <c r="O46"/>
  <c r="N46"/>
  <c r="M46"/>
  <c r="D46"/>
  <c r="Q45"/>
  <c r="R45" s="1"/>
  <c r="L45"/>
  <c r="K45"/>
  <c r="J45"/>
  <c r="I45"/>
  <c r="H45"/>
  <c r="G45"/>
  <c r="F45"/>
  <c r="E45"/>
  <c r="Q44"/>
  <c r="R44" s="1"/>
  <c r="L44"/>
  <c r="K44"/>
  <c r="J44"/>
  <c r="I44"/>
  <c r="H44"/>
  <c r="G44"/>
  <c r="F44"/>
  <c r="E44"/>
  <c r="Q43"/>
  <c r="R43" s="1"/>
  <c r="L43"/>
  <c r="K43"/>
  <c r="J43"/>
  <c r="I43"/>
  <c r="H43"/>
  <c r="G43"/>
  <c r="F43"/>
  <c r="E43"/>
  <c r="Q42"/>
  <c r="R42" s="1"/>
  <c r="L42"/>
  <c r="K42"/>
  <c r="J42"/>
  <c r="I42"/>
  <c r="H42"/>
  <c r="G42"/>
  <c r="F42"/>
  <c r="E42"/>
  <c r="Q41"/>
  <c r="R41" s="1"/>
  <c r="L41"/>
  <c r="K41"/>
  <c r="J41"/>
  <c r="I41"/>
  <c r="H41"/>
  <c r="G41"/>
  <c r="F41"/>
  <c r="E41"/>
  <c r="Q40"/>
  <c r="R40" s="1"/>
  <c r="L40"/>
  <c r="K40"/>
  <c r="J40"/>
  <c r="I40"/>
  <c r="H40"/>
  <c r="G40"/>
  <c r="F40"/>
  <c r="E40"/>
  <c r="Q39"/>
  <c r="R39" s="1"/>
  <c r="L39"/>
  <c r="K39"/>
  <c r="J39"/>
  <c r="I39"/>
  <c r="H39"/>
  <c r="G39"/>
  <c r="F39"/>
  <c r="E39"/>
  <c r="Q38"/>
  <c r="R38" s="1"/>
  <c r="L38"/>
  <c r="K38"/>
  <c r="J38"/>
  <c r="I38"/>
  <c r="H38"/>
  <c r="G38"/>
  <c r="F38"/>
  <c r="E38"/>
  <c r="Q37"/>
  <c r="R37" s="1"/>
  <c r="L37"/>
  <c r="K37"/>
  <c r="J37"/>
  <c r="I37"/>
  <c r="H37"/>
  <c r="G37"/>
  <c r="F37"/>
  <c r="E37"/>
  <c r="Q36"/>
  <c r="R36" s="1"/>
  <c r="L36"/>
  <c r="K36"/>
  <c r="J36"/>
  <c r="I36"/>
  <c r="H36"/>
  <c r="G36"/>
  <c r="F36"/>
  <c r="E36"/>
  <c r="Q35"/>
  <c r="R35" s="1"/>
  <c r="L35"/>
  <c r="K35"/>
  <c r="J35"/>
  <c r="I35"/>
  <c r="H35"/>
  <c r="G35"/>
  <c r="F35"/>
  <c r="E35"/>
  <c r="Q34"/>
  <c r="R34" s="1"/>
  <c r="L34"/>
  <c r="K34"/>
  <c r="J34"/>
  <c r="I34"/>
  <c r="H34"/>
  <c r="G34"/>
  <c r="F34"/>
  <c r="E34"/>
  <c r="Q33"/>
  <c r="R33" s="1"/>
  <c r="L33"/>
  <c r="K33"/>
  <c r="J33"/>
  <c r="I33"/>
  <c r="H33"/>
  <c r="G33"/>
  <c r="F33"/>
  <c r="E33"/>
  <c r="Q32"/>
  <c r="L32"/>
  <c r="L46" s="1"/>
  <c r="K32"/>
  <c r="J32"/>
  <c r="I32"/>
  <c r="H32"/>
  <c r="H46" s="1"/>
  <c r="G32"/>
  <c r="F32"/>
  <c r="E32"/>
  <c r="P30"/>
  <c r="O30"/>
  <c r="N30"/>
  <c r="M30"/>
  <c r="D30"/>
  <c r="Q29"/>
  <c r="R29" s="1"/>
  <c r="L29"/>
  <c r="K29"/>
  <c r="J29"/>
  <c r="I29"/>
  <c r="H29"/>
  <c r="G29"/>
  <c r="F29"/>
  <c r="E29"/>
  <c r="Q28"/>
  <c r="R28" s="1"/>
  <c r="L28"/>
  <c r="K28"/>
  <c r="J28"/>
  <c r="I28"/>
  <c r="H28"/>
  <c r="G28"/>
  <c r="F28"/>
  <c r="E28"/>
  <c r="Q27"/>
  <c r="R27" s="1"/>
  <c r="L27"/>
  <c r="K27"/>
  <c r="J27"/>
  <c r="I27"/>
  <c r="H27"/>
  <c r="G27"/>
  <c r="F27"/>
  <c r="E27"/>
  <c r="Q26"/>
  <c r="R26" s="1"/>
  <c r="L26"/>
  <c r="K26"/>
  <c r="J26"/>
  <c r="I26"/>
  <c r="H26"/>
  <c r="G26"/>
  <c r="F26"/>
  <c r="E26"/>
  <c r="Q25"/>
  <c r="R25" s="1"/>
  <c r="L25"/>
  <c r="K25"/>
  <c r="J25"/>
  <c r="I25"/>
  <c r="H25"/>
  <c r="G25"/>
  <c r="F25"/>
  <c r="E25"/>
  <c r="Q24"/>
  <c r="L24"/>
  <c r="K24"/>
  <c r="J24"/>
  <c r="I24"/>
  <c r="H24"/>
  <c r="G24"/>
  <c r="F24"/>
  <c r="E24"/>
  <c r="P22"/>
  <c r="O22"/>
  <c r="O47" s="1"/>
  <c r="O218" s="1"/>
  <c r="N22"/>
  <c r="M22"/>
  <c r="D22"/>
  <c r="Q21"/>
  <c r="R21" s="1"/>
  <c r="L21"/>
  <c r="K21"/>
  <c r="J21"/>
  <c r="I21"/>
  <c r="H21"/>
  <c r="G21"/>
  <c r="F21"/>
  <c r="E21"/>
  <c r="Q20"/>
  <c r="R20" s="1"/>
  <c r="L20"/>
  <c r="K20"/>
  <c r="J20"/>
  <c r="I20"/>
  <c r="H20"/>
  <c r="G20"/>
  <c r="F20"/>
  <c r="E20"/>
  <c r="Q19"/>
  <c r="R19" s="1"/>
  <c r="L19"/>
  <c r="K19"/>
  <c r="J19"/>
  <c r="I19"/>
  <c r="H19"/>
  <c r="G19"/>
  <c r="F19"/>
  <c r="E19"/>
  <c r="R16"/>
  <c r="Q16"/>
  <c r="P16"/>
  <c r="O16"/>
  <c r="N16"/>
  <c r="M16"/>
  <c r="L16"/>
  <c r="K16"/>
  <c r="J16"/>
  <c r="I16"/>
  <c r="H16"/>
  <c r="G16"/>
  <c r="F16"/>
  <c r="E16"/>
  <c r="D16"/>
  <c r="P13"/>
  <c r="N13"/>
  <c r="D13"/>
  <c r="Q12"/>
  <c r="R12" s="1"/>
  <c r="O12"/>
  <c r="M12"/>
  <c r="L12"/>
  <c r="K12"/>
  <c r="J12"/>
  <c r="I12"/>
  <c r="H12"/>
  <c r="G12"/>
  <c r="F12"/>
  <c r="E12"/>
  <c r="Q11"/>
  <c r="R11" s="1"/>
  <c r="O11"/>
  <c r="M11"/>
  <c r="L11"/>
  <c r="K11"/>
  <c r="J11"/>
  <c r="I11"/>
  <c r="H11"/>
  <c r="G11"/>
  <c r="F11"/>
  <c r="E11"/>
  <c r="Q10"/>
  <c r="R10" s="1"/>
  <c r="O10"/>
  <c r="M10"/>
  <c r="L10"/>
  <c r="K10"/>
  <c r="J10"/>
  <c r="I10"/>
  <c r="H10"/>
  <c r="G10"/>
  <c r="F10"/>
  <c r="E10"/>
  <c r="Q9"/>
  <c r="R9" s="1"/>
  <c r="O9"/>
  <c r="M9"/>
  <c r="L9"/>
  <c r="K9"/>
  <c r="J9"/>
  <c r="I9"/>
  <c r="H9"/>
  <c r="G9"/>
  <c r="F9"/>
  <c r="E9"/>
  <c r="Q8"/>
  <c r="R8" s="1"/>
  <c r="O8"/>
  <c r="M8"/>
  <c r="L8"/>
  <c r="K8"/>
  <c r="J8"/>
  <c r="I8"/>
  <c r="H8"/>
  <c r="G8"/>
  <c r="F8"/>
  <c r="E8"/>
  <c r="Q7"/>
  <c r="R7" s="1"/>
  <c r="O7"/>
  <c r="M7"/>
  <c r="L7"/>
  <c r="K7"/>
  <c r="J7"/>
  <c r="I7"/>
  <c r="H7"/>
  <c r="G7"/>
  <c r="F7"/>
  <c r="E7"/>
  <c r="Q6"/>
  <c r="R6" s="1"/>
  <c r="O6"/>
  <c r="O13" s="1"/>
  <c r="M6"/>
  <c r="L6"/>
  <c r="K6"/>
  <c r="J6"/>
  <c r="J13" s="1"/>
  <c r="I6"/>
  <c r="H6"/>
  <c r="G6"/>
  <c r="F6"/>
  <c r="F13" s="1"/>
  <c r="E6"/>
  <c r="O227" i="1"/>
  <c r="N227"/>
  <c r="K227"/>
  <c r="J227"/>
  <c r="I227"/>
  <c r="H227"/>
  <c r="G227"/>
  <c r="M226"/>
  <c r="L226"/>
  <c r="M225"/>
  <c r="L225"/>
  <c r="M224"/>
  <c r="L224"/>
  <c r="L227" s="1"/>
  <c r="O222"/>
  <c r="N222"/>
  <c r="M222"/>
  <c r="K222"/>
  <c r="J222"/>
  <c r="H222"/>
  <c r="L221"/>
  <c r="L220"/>
  <c r="I220"/>
  <c r="I222" s="1"/>
  <c r="A217"/>
  <c r="N216"/>
  <c r="J216"/>
  <c r="I216"/>
  <c r="H216"/>
  <c r="G216"/>
  <c r="M215"/>
  <c r="K215"/>
  <c r="L215" s="1"/>
  <c r="M214"/>
  <c r="L214"/>
  <c r="M213"/>
  <c r="L213"/>
  <c r="M212"/>
  <c r="L212"/>
  <c r="M211"/>
  <c r="K211"/>
  <c r="L211" s="1"/>
  <c r="M210"/>
  <c r="L210"/>
  <c r="K210"/>
  <c r="M209"/>
  <c r="L209"/>
  <c r="M208"/>
  <c r="L208"/>
  <c r="O208" s="1"/>
  <c r="M207"/>
  <c r="L207"/>
  <c r="O207" s="1"/>
  <c r="M206"/>
  <c r="L206"/>
  <c r="M205"/>
  <c r="L205"/>
  <c r="M204"/>
  <c r="L204"/>
  <c r="M203"/>
  <c r="K203"/>
  <c r="L203" s="1"/>
  <c r="M202"/>
  <c r="L202"/>
  <c r="M201"/>
  <c r="L201"/>
  <c r="M200"/>
  <c r="L200"/>
  <c r="M199"/>
  <c r="L199"/>
  <c r="M198"/>
  <c r="L198"/>
  <c r="M197"/>
  <c r="L197"/>
  <c r="M196"/>
  <c r="L196"/>
  <c r="M195"/>
  <c r="L195"/>
  <c r="M194"/>
  <c r="L194"/>
  <c r="M193"/>
  <c r="L193"/>
  <c r="M192"/>
  <c r="L192"/>
  <c r="M191"/>
  <c r="L191"/>
  <c r="M190"/>
  <c r="L190"/>
  <c r="M189"/>
  <c r="L189"/>
  <c r="L188"/>
  <c r="M187"/>
  <c r="L187"/>
  <c r="M186"/>
  <c r="K186"/>
  <c r="L186" s="1"/>
  <c r="M185"/>
  <c r="L185"/>
  <c r="M184"/>
  <c r="L184"/>
  <c r="M183"/>
  <c r="L183"/>
  <c r="M182"/>
  <c r="L182"/>
  <c r="M181"/>
  <c r="L181"/>
  <c r="M180"/>
  <c r="L180"/>
  <c r="M179"/>
  <c r="L179"/>
  <c r="M178"/>
  <c r="L178"/>
  <c r="M177"/>
  <c r="K177"/>
  <c r="L177" s="1"/>
  <c r="M176"/>
  <c r="L176"/>
  <c r="M175"/>
  <c r="L175"/>
  <c r="M174"/>
  <c r="L174"/>
  <c r="M173"/>
  <c r="L173"/>
  <c r="M172"/>
  <c r="L172"/>
  <c r="M171"/>
  <c r="L171"/>
  <c r="M170"/>
  <c r="L170"/>
  <c r="M169"/>
  <c r="L169"/>
  <c r="K169"/>
  <c r="M168"/>
  <c r="L168"/>
  <c r="M167"/>
  <c r="L167"/>
  <c r="M166"/>
  <c r="L166"/>
  <c r="M165"/>
  <c r="L165"/>
  <c r="M164"/>
  <c r="L164"/>
  <c r="M163"/>
  <c r="L163"/>
  <c r="M162"/>
  <c r="L162"/>
  <c r="M161"/>
  <c r="K161"/>
  <c r="L161" s="1"/>
  <c r="M160"/>
  <c r="K160"/>
  <c r="L160" s="1"/>
  <c r="M159"/>
  <c r="L159"/>
  <c r="M158"/>
  <c r="L158"/>
  <c r="M157"/>
  <c r="K157"/>
  <c r="L157" s="1"/>
  <c r="M156"/>
  <c r="K156"/>
  <c r="L156" s="1"/>
  <c r="M155"/>
  <c r="L155"/>
  <c r="K155"/>
  <c r="M154"/>
  <c r="L154"/>
  <c r="M153"/>
  <c r="L153"/>
  <c r="M152"/>
  <c r="L152"/>
  <c r="M151"/>
  <c r="L151"/>
  <c r="M150"/>
  <c r="L150"/>
  <c r="M149"/>
  <c r="L149"/>
  <c r="M148"/>
  <c r="L148"/>
  <c r="M147"/>
  <c r="L147"/>
  <c r="M146"/>
  <c r="L146"/>
  <c r="M145"/>
  <c r="L145"/>
  <c r="M144"/>
  <c r="K144"/>
  <c r="L144" s="1"/>
  <c r="M143"/>
  <c r="L143"/>
  <c r="M142"/>
  <c r="L142"/>
  <c r="M141"/>
  <c r="K141"/>
  <c r="L141" s="1"/>
  <c r="M140"/>
  <c r="K140"/>
  <c r="L140" s="1"/>
  <c r="M139"/>
  <c r="L139"/>
  <c r="M138"/>
  <c r="L138"/>
  <c r="M137"/>
  <c r="K137"/>
  <c r="L137" s="1"/>
  <c r="M136"/>
  <c r="L136"/>
  <c r="L135"/>
  <c r="L134"/>
  <c r="M133"/>
  <c r="L133"/>
  <c r="M132"/>
  <c r="L132"/>
  <c r="M131"/>
  <c r="L131"/>
  <c r="M130"/>
  <c r="L130"/>
  <c r="M129"/>
  <c r="L129"/>
  <c r="M128"/>
  <c r="L128"/>
  <c r="M127"/>
  <c r="L127"/>
  <c r="K127"/>
  <c r="M126"/>
  <c r="L126"/>
  <c r="M125"/>
  <c r="L125"/>
  <c r="M124"/>
  <c r="L124"/>
  <c r="M123"/>
  <c r="L123"/>
  <c r="L122"/>
  <c r="M121"/>
  <c r="L121"/>
  <c r="M120"/>
  <c r="L120"/>
  <c r="M119"/>
  <c r="L119"/>
  <c r="M118"/>
  <c r="L118"/>
  <c r="M117"/>
  <c r="L117"/>
  <c r="M116"/>
  <c r="L116"/>
  <c r="M115"/>
  <c r="L115"/>
  <c r="M114"/>
  <c r="L114"/>
  <c r="M113"/>
  <c r="L113"/>
  <c r="M112"/>
  <c r="L112"/>
  <c r="M111"/>
  <c r="L111"/>
  <c r="M110"/>
  <c r="L110"/>
  <c r="M109"/>
  <c r="L109"/>
  <c r="M108"/>
  <c r="L108"/>
  <c r="M107"/>
  <c r="L107"/>
  <c r="L105"/>
  <c r="M104"/>
  <c r="L104"/>
  <c r="M103"/>
  <c r="K103"/>
  <c r="L103" s="1"/>
  <c r="M102"/>
  <c r="L102"/>
  <c r="M101"/>
  <c r="L101"/>
  <c r="M100"/>
  <c r="L100"/>
  <c r="M99"/>
  <c r="L99"/>
  <c r="M98"/>
  <c r="L98"/>
  <c r="M97"/>
  <c r="L97"/>
  <c r="M96"/>
  <c r="L96"/>
  <c r="M95"/>
  <c r="L95"/>
  <c r="M94"/>
  <c r="L94"/>
  <c r="M93"/>
  <c r="K93"/>
  <c r="K216" s="1"/>
  <c r="M92"/>
  <c r="L92"/>
  <c r="M91"/>
  <c r="L91"/>
  <c r="M90"/>
  <c r="L90"/>
  <c r="O88"/>
  <c r="N88"/>
  <c r="N217" s="1"/>
  <c r="K88"/>
  <c r="J88"/>
  <c r="J217" s="1"/>
  <c r="I88"/>
  <c r="I217" s="1"/>
  <c r="H88"/>
  <c r="H217" s="1"/>
  <c r="G88"/>
  <c r="L87"/>
  <c r="L86"/>
  <c r="M85"/>
  <c r="L85"/>
  <c r="M84"/>
  <c r="L84"/>
  <c r="L83"/>
  <c r="M82"/>
  <c r="L82"/>
  <c r="L81"/>
  <c r="L80"/>
  <c r="L79"/>
  <c r="L78"/>
  <c r="M77"/>
  <c r="L77"/>
  <c r="M76"/>
  <c r="L76"/>
  <c r="M75"/>
  <c r="L75"/>
  <c r="M74"/>
  <c r="L74"/>
  <c r="L73"/>
  <c r="M72"/>
  <c r="L72"/>
  <c r="M71"/>
  <c r="L71"/>
  <c r="M70"/>
  <c r="L70"/>
  <c r="M69"/>
  <c r="L69"/>
  <c r="M68"/>
  <c r="L68"/>
  <c r="M67"/>
  <c r="L67"/>
  <c r="M66"/>
  <c r="L66"/>
  <c r="M65"/>
  <c r="L65"/>
  <c r="L64"/>
  <c r="L63"/>
  <c r="M62"/>
  <c r="L62"/>
  <c r="L61"/>
  <c r="L60"/>
  <c r="M59"/>
  <c r="L59"/>
  <c r="L58"/>
  <c r="L57"/>
  <c r="M56"/>
  <c r="L56"/>
  <c r="M55"/>
  <c r="L55"/>
  <c r="L54"/>
  <c r="L53"/>
  <c r="M52"/>
  <c r="L52"/>
  <c r="M51"/>
  <c r="L51"/>
  <c r="L50"/>
  <c r="L88" s="1"/>
  <c r="A47"/>
  <c r="A218" s="1"/>
  <c r="O46"/>
  <c r="N46"/>
  <c r="K46"/>
  <c r="J46"/>
  <c r="I46"/>
  <c r="H46"/>
  <c r="G46"/>
  <c r="M45"/>
  <c r="L45"/>
  <c r="M44"/>
  <c r="L44"/>
  <c r="M43"/>
  <c r="L43"/>
  <c r="M42"/>
  <c r="L42"/>
  <c r="M41"/>
  <c r="L41"/>
  <c r="M40"/>
  <c r="L40"/>
  <c r="M39"/>
  <c r="K39"/>
  <c r="L39" s="1"/>
  <c r="M38"/>
  <c r="L38"/>
  <c r="M37"/>
  <c r="L37"/>
  <c r="M36"/>
  <c r="L36"/>
  <c r="M35"/>
  <c r="L35"/>
  <c r="M34"/>
  <c r="L34"/>
  <c r="M33"/>
  <c r="L33"/>
  <c r="M32"/>
  <c r="L32"/>
  <c r="O30"/>
  <c r="N30"/>
  <c r="J30"/>
  <c r="I30"/>
  <c r="H30"/>
  <c r="G30"/>
  <c r="M29"/>
  <c r="L29"/>
  <c r="M28"/>
  <c r="K28"/>
  <c r="K30" s="1"/>
  <c r="M27"/>
  <c r="L27"/>
  <c r="M26"/>
  <c r="L26"/>
  <c r="M25"/>
  <c r="L25"/>
  <c r="L24"/>
  <c r="O22"/>
  <c r="N22"/>
  <c r="M22"/>
  <c r="K22"/>
  <c r="K47" s="1"/>
  <c r="J22"/>
  <c r="I22"/>
  <c r="H22"/>
  <c r="G22"/>
  <c r="G47" s="1"/>
  <c r="M21"/>
  <c r="L21"/>
  <c r="L22" s="1"/>
  <c r="O16"/>
  <c r="N16"/>
  <c r="M16"/>
  <c r="K16"/>
  <c r="J16"/>
  <c r="I16"/>
  <c r="H16"/>
  <c r="G16"/>
  <c r="L15"/>
  <c r="L16" s="1"/>
  <c r="O13"/>
  <c r="N13"/>
  <c r="J13"/>
  <c r="I13"/>
  <c r="H13"/>
  <c r="G13"/>
  <c r="M12"/>
  <c r="L12"/>
  <c r="M11"/>
  <c r="K11"/>
  <c r="L11" s="1"/>
  <c r="M10"/>
  <c r="L10"/>
  <c r="M9"/>
  <c r="L9"/>
  <c r="M8"/>
  <c r="L8"/>
  <c r="M7"/>
  <c r="K7"/>
  <c r="L7" s="1"/>
  <c r="M6"/>
  <c r="L6"/>
  <c r="H216" i="2" l="1"/>
  <c r="L216"/>
  <c r="H88"/>
  <c r="L88"/>
  <c r="F222"/>
  <c r="J222"/>
  <c r="E216"/>
  <c r="I216"/>
  <c r="E22"/>
  <c r="I22"/>
  <c r="H22"/>
  <c r="L22"/>
  <c r="M47"/>
  <c r="M218" s="1"/>
  <c r="E30"/>
  <c r="I30"/>
  <c r="Q30"/>
  <c r="F88"/>
  <c r="J88"/>
  <c r="F216"/>
  <c r="J216"/>
  <c r="G222"/>
  <c r="K222"/>
  <c r="H227"/>
  <c r="L227"/>
  <c r="H30"/>
  <c r="L30"/>
  <c r="G30"/>
  <c r="K30"/>
  <c r="E88"/>
  <c r="I88"/>
  <c r="Q88"/>
  <c r="F30"/>
  <c r="J30"/>
  <c r="E227"/>
  <c r="I227"/>
  <c r="Q227"/>
  <c r="H13"/>
  <c r="L13"/>
  <c r="G22"/>
  <c r="K22"/>
  <c r="F46"/>
  <c r="J46"/>
  <c r="R88"/>
  <c r="F227"/>
  <c r="J227"/>
  <c r="R224"/>
  <c r="R227" s="1"/>
  <c r="G13"/>
  <c r="K13"/>
  <c r="F22"/>
  <c r="J22"/>
  <c r="N47"/>
  <c r="N218" s="1"/>
  <c r="R24"/>
  <c r="R30" s="1"/>
  <c r="E46"/>
  <c r="I46"/>
  <c r="Q46"/>
  <c r="Q216"/>
  <c r="E13"/>
  <c r="I13"/>
  <c r="M13"/>
  <c r="D47"/>
  <c r="D218" s="1"/>
  <c r="P47"/>
  <c r="P218" s="1"/>
  <c r="G46"/>
  <c r="K46"/>
  <c r="G88"/>
  <c r="K88"/>
  <c r="G216"/>
  <c r="K216"/>
  <c r="H222"/>
  <c r="L222"/>
  <c r="G227"/>
  <c r="K227"/>
  <c r="M216" i="1"/>
  <c r="M227"/>
  <c r="J47"/>
  <c r="J218" s="1"/>
  <c r="M13"/>
  <c r="I47"/>
  <c r="I218" s="1"/>
  <c r="N47"/>
  <c r="N218" s="1"/>
  <c r="M30"/>
  <c r="M46"/>
  <c r="M47" s="1"/>
  <c r="H47"/>
  <c r="H218" s="1"/>
  <c r="O47"/>
  <c r="M88"/>
  <c r="L222"/>
  <c r="O216"/>
  <c r="O217" s="1"/>
  <c r="O218" s="1"/>
  <c r="R13" i="2"/>
  <c r="K217" i="1"/>
  <c r="K218" s="1"/>
  <c r="R22" i="2"/>
  <c r="L28" i="1"/>
  <c r="L30" s="1"/>
  <c r="L47" s="1"/>
  <c r="L93"/>
  <c r="L216" s="1"/>
  <c r="L217" s="1"/>
  <c r="Q13" i="2"/>
  <c r="Q22"/>
  <c r="R90"/>
  <c r="R216" s="1"/>
  <c r="R220"/>
  <c r="R222" s="1"/>
  <c r="K13" i="1"/>
  <c r="R32" i="2"/>
  <c r="R46" s="1"/>
  <c r="H217" l="1"/>
  <c r="L217"/>
  <c r="H47"/>
  <c r="I47"/>
  <c r="J47"/>
  <c r="E217"/>
  <c r="I217"/>
  <c r="J217"/>
  <c r="E47"/>
  <c r="R217"/>
  <c r="F47"/>
  <c r="F217"/>
  <c r="Q47"/>
  <c r="Q217"/>
  <c r="L47"/>
  <c r="G217"/>
  <c r="K217"/>
  <c r="K47"/>
  <c r="R47"/>
  <c r="G47"/>
  <c r="M217" i="1"/>
  <c r="M218" s="1"/>
  <c r="L218"/>
  <c r="F218" i="2" l="1"/>
  <c r="H218"/>
  <c r="L218"/>
  <c r="J218"/>
  <c r="I218"/>
  <c r="Q218"/>
  <c r="E218"/>
  <c r="R218"/>
  <c r="G218"/>
  <c r="K218"/>
</calcChain>
</file>

<file path=xl/sharedStrings.xml><?xml version="1.0" encoding="utf-8"?>
<sst xmlns="http://schemas.openxmlformats.org/spreadsheetml/2006/main" count="1087" uniqueCount="273">
  <si>
    <t>№ пп</t>
  </si>
  <si>
    <t>Адрес дома</t>
  </si>
  <si>
    <t>год постройки</t>
  </si>
  <si>
    <t>Материал стен</t>
  </si>
  <si>
    <t>Тип и материал кровли</t>
  </si>
  <si>
    <t>Этажность</t>
  </si>
  <si>
    <t>Кол-во подъездов</t>
  </si>
  <si>
    <t>Кол-во квартир</t>
  </si>
  <si>
    <t>Кол-во прожиающих</t>
  </si>
  <si>
    <t>Площади</t>
  </si>
  <si>
    <t>Тип полов в подъезде</t>
  </si>
  <si>
    <t>жилая</t>
  </si>
  <si>
    <t>н/жилая</t>
  </si>
  <si>
    <t>общая</t>
  </si>
  <si>
    <t>придомовая</t>
  </si>
  <si>
    <t>МОП</t>
  </si>
  <si>
    <t>Кровля</t>
  </si>
  <si>
    <t>Панельный</t>
  </si>
  <si>
    <t>Мягкая</t>
  </si>
  <si>
    <t>ж/б</t>
  </si>
  <si>
    <t>итого</t>
  </si>
  <si>
    <t>Клубная, 20</t>
  </si>
  <si>
    <t>Круп/бл</t>
  </si>
  <si>
    <t>Ленина, 55</t>
  </si>
  <si>
    <t>Крупноблочный</t>
  </si>
  <si>
    <t>Ленина, 80</t>
  </si>
  <si>
    <t>Панельные</t>
  </si>
  <si>
    <t>Ленина, 84</t>
  </si>
  <si>
    <t>Ленина, 86</t>
  </si>
  <si>
    <t>Ленина, 88</t>
  </si>
  <si>
    <t>Ленина, 92</t>
  </si>
  <si>
    <t>Октябрьская, 55</t>
  </si>
  <si>
    <t>Кирпичный</t>
  </si>
  <si>
    <t>Шифер</t>
  </si>
  <si>
    <t>дерево</t>
  </si>
  <si>
    <t>Этажность 3,4</t>
  </si>
  <si>
    <t>Ленина, 72а</t>
  </si>
  <si>
    <t>Ленина, 74а</t>
  </si>
  <si>
    <t>Радищева, 3</t>
  </si>
  <si>
    <t>Этажность 5, дома крупные</t>
  </si>
  <si>
    <t>Клубная, 13</t>
  </si>
  <si>
    <t>Ленина, 53</t>
  </si>
  <si>
    <t>Крупноблоч.</t>
  </si>
  <si>
    <t>Ленина, 59</t>
  </si>
  <si>
    <t>Фурманова, 15</t>
  </si>
  <si>
    <t>Чкалова, 37</t>
  </si>
  <si>
    <t>Клубная, 16</t>
  </si>
  <si>
    <t>Этажность 5, дома средней величины</t>
  </si>
  <si>
    <t>Клубная, 10</t>
  </si>
  <si>
    <t>Клубная, 6</t>
  </si>
  <si>
    <t>Клубная, 8</t>
  </si>
  <si>
    <t>Ленина, 51</t>
  </si>
  <si>
    <t>Ленина, 57</t>
  </si>
  <si>
    <t>Октябрьская, 26</t>
  </si>
  <si>
    <t>Октябрьская, 57</t>
  </si>
  <si>
    <t>Попова, 80</t>
  </si>
  <si>
    <t>Чапаева, 14</t>
  </si>
  <si>
    <t>Чапаева, 15</t>
  </si>
  <si>
    <t>Чапаева, 17</t>
  </si>
  <si>
    <t>Чапаева, 25</t>
  </si>
  <si>
    <t>Чкалова, 24</t>
  </si>
  <si>
    <t>Чкалова, 26</t>
  </si>
  <si>
    <t>всего по группе</t>
  </si>
  <si>
    <t>дома с деревянными полами в подъезде</t>
  </si>
  <si>
    <t>Базстроевская, 13</t>
  </si>
  <si>
    <t>Шлакоблочн.</t>
  </si>
  <si>
    <t>Базстроевская, 15</t>
  </si>
  <si>
    <t>Кирпич</t>
  </si>
  <si>
    <t>Базстроевская, 19</t>
  </si>
  <si>
    <t>Шлакоблок</t>
  </si>
  <si>
    <t>Базстроевская, 7</t>
  </si>
  <si>
    <t>Карпинского, 53</t>
  </si>
  <si>
    <t>Карпинского, 55</t>
  </si>
  <si>
    <t>Дерево</t>
  </si>
  <si>
    <t>Коммунальная, 14</t>
  </si>
  <si>
    <t>Коммунальная, 16</t>
  </si>
  <si>
    <t>Коммунальная, 17</t>
  </si>
  <si>
    <t>Коммунальная, 18</t>
  </si>
  <si>
    <t>Коммунальная, 19</t>
  </si>
  <si>
    <t>Коммунальная, 20</t>
  </si>
  <si>
    <t>Брус</t>
  </si>
  <si>
    <t>Коммунальная, 21</t>
  </si>
  <si>
    <t>Коммунальная, 22</t>
  </si>
  <si>
    <t>Коммунальная, 26</t>
  </si>
  <si>
    <t>Ленина, 58</t>
  </si>
  <si>
    <t>Ленина, 64</t>
  </si>
  <si>
    <t>Лермонтова, 10</t>
  </si>
  <si>
    <t>Лермонтова, 12</t>
  </si>
  <si>
    <t>Лермонтова, 4</t>
  </si>
  <si>
    <t>Лермонтова, 6</t>
  </si>
  <si>
    <t>Лермонтова, 8</t>
  </si>
  <si>
    <t>Микова, 23</t>
  </si>
  <si>
    <t>Микова, 27</t>
  </si>
  <si>
    <t>Микова, 29</t>
  </si>
  <si>
    <t>Микова, 45</t>
  </si>
  <si>
    <t>Микова, 47</t>
  </si>
  <si>
    <t>Микова, 49</t>
  </si>
  <si>
    <t>Микова, 63</t>
  </si>
  <si>
    <t>Попова, 41</t>
  </si>
  <si>
    <t>Попова, 45</t>
  </si>
  <si>
    <t>Попова, 47</t>
  </si>
  <si>
    <t>Фрунзе, 42</t>
  </si>
  <si>
    <t>Фрунзе, 44</t>
  </si>
  <si>
    <t>Фрунзе, 46</t>
  </si>
  <si>
    <t>Фрунзе, 52</t>
  </si>
  <si>
    <t>Фурманова, 48</t>
  </si>
  <si>
    <t>Фурманова, 50</t>
  </si>
  <si>
    <t>дома с ж/б полами в подъезде</t>
  </si>
  <si>
    <t>Б.Мира, 3</t>
  </si>
  <si>
    <t>Б.Мира, 4</t>
  </si>
  <si>
    <t>Б.Мира, 5</t>
  </si>
  <si>
    <t>Б.Мира, 8</t>
  </si>
  <si>
    <t>Базстроевская, 10</t>
  </si>
  <si>
    <t>Базстроевская, 14</t>
  </si>
  <si>
    <t>Базстроевская, 16</t>
  </si>
  <si>
    <t>Базстроевская, 18</t>
  </si>
  <si>
    <t>Базстроевская, 20</t>
  </si>
  <si>
    <t>Базстроевская, 22</t>
  </si>
  <si>
    <t>Базстроевская, 24</t>
  </si>
  <si>
    <t>Базстроевская, 4</t>
  </si>
  <si>
    <t>Базстроевская, 5</t>
  </si>
  <si>
    <t>Базстроевская, 6</t>
  </si>
  <si>
    <t>Базстроевская, 8</t>
  </si>
  <si>
    <t>Базстроевская, 9</t>
  </si>
  <si>
    <t>Карпинского, 42</t>
  </si>
  <si>
    <t>Карпинского, 51</t>
  </si>
  <si>
    <t>Карпинского, 57</t>
  </si>
  <si>
    <t>Карпинского, 59</t>
  </si>
  <si>
    <t>Карпинского, 63</t>
  </si>
  <si>
    <t>Коммунальная, 1</t>
  </si>
  <si>
    <t>Коммунальная, 11</t>
  </si>
  <si>
    <t>Коммунальная, 2</t>
  </si>
  <si>
    <t>Коммунальная, 23</t>
  </si>
  <si>
    <t>Коммунальная, 28</t>
  </si>
  <si>
    <t>Коммунальная, 3</t>
  </si>
  <si>
    <t>Коммунальная, 4</t>
  </si>
  <si>
    <t>Коммунальная, 5</t>
  </si>
  <si>
    <t>Коммунальная, 6</t>
  </si>
  <si>
    <t>Коммунальная, 7</t>
  </si>
  <si>
    <t>Коммунальная, 9</t>
  </si>
  <si>
    <t>Л.Комсомола, 31</t>
  </si>
  <si>
    <t>Л.Комсомола, 33</t>
  </si>
  <si>
    <t>Л.Комсомола, 34</t>
  </si>
  <si>
    <t>Л.Комсомола, 35</t>
  </si>
  <si>
    <t>Л.Комсомола, 36</t>
  </si>
  <si>
    <t>Ленина, 15</t>
  </si>
  <si>
    <t>Ленина, 17</t>
  </si>
  <si>
    <t>Ленина, 28</t>
  </si>
  <si>
    <t>Ленина, 30</t>
  </si>
  <si>
    <t>Ленина, 32</t>
  </si>
  <si>
    <t>Ленина, 34</t>
  </si>
  <si>
    <t>Ленина, 36</t>
  </si>
  <si>
    <t>Ленина, 38</t>
  </si>
  <si>
    <t>Ленина, 40</t>
  </si>
  <si>
    <t>Ленина, 54</t>
  </si>
  <si>
    <t>Ленина, 56</t>
  </si>
  <si>
    <t>Ленина, 60</t>
  </si>
  <si>
    <t>Ленина, 66</t>
  </si>
  <si>
    <t>Ленина, 70</t>
  </si>
  <si>
    <t>Ленина, 72</t>
  </si>
  <si>
    <t>Лермонтова, 14</t>
  </si>
  <si>
    <t>Лермонтова, 2</t>
  </si>
  <si>
    <t>Микова, 16</t>
  </si>
  <si>
    <t>Микова, 18</t>
  </si>
  <si>
    <t>Микова, 25</t>
  </si>
  <si>
    <t>Микова, 31</t>
  </si>
  <si>
    <t>Микова, 39</t>
  </si>
  <si>
    <t>Микова, 41</t>
  </si>
  <si>
    <t>Микова, 51</t>
  </si>
  <si>
    <t>Микова, 55</t>
  </si>
  <si>
    <t>Микова, 57</t>
  </si>
  <si>
    <t>Молодежная, 11</t>
  </si>
  <si>
    <t>Молодежная, 13</t>
  </si>
  <si>
    <t>Молодежная, 15</t>
  </si>
  <si>
    <t>Молодежная, 19</t>
  </si>
  <si>
    <t>Молодежная, 21</t>
  </si>
  <si>
    <t>Молодежная, 25</t>
  </si>
  <si>
    <t>Молодежная, 27</t>
  </si>
  <si>
    <t>Молодежная, 3</t>
  </si>
  <si>
    <t>Молодежная, 5</t>
  </si>
  <si>
    <t>Молодежная, 7</t>
  </si>
  <si>
    <t>Молодежная, 9</t>
  </si>
  <si>
    <t>Октябрьская, 16</t>
  </si>
  <si>
    <t>Октябрьская, 18</t>
  </si>
  <si>
    <t>Октябрьская, 20</t>
  </si>
  <si>
    <t>Октябрьская, 20а</t>
  </si>
  <si>
    <t>Попова, 27</t>
  </si>
  <si>
    <t>Попова, 29</t>
  </si>
  <si>
    <t>Попова, 31</t>
  </si>
  <si>
    <t>Попова, 33</t>
  </si>
  <si>
    <t>Попова, 35</t>
  </si>
  <si>
    <t>Попова, 38</t>
  </si>
  <si>
    <t>Попова, 39</t>
  </si>
  <si>
    <t>Попова, 40</t>
  </si>
  <si>
    <t>Попова, 42</t>
  </si>
  <si>
    <t>Попова, 44</t>
  </si>
  <si>
    <t>Попова, 48</t>
  </si>
  <si>
    <t>Попова, 49</t>
  </si>
  <si>
    <t>Попова, 50</t>
  </si>
  <si>
    <t>Попова, 52</t>
  </si>
  <si>
    <t>Попова, 54</t>
  </si>
  <si>
    <t>Радищева, 10</t>
  </si>
  <si>
    <t>Радищева, 10а</t>
  </si>
  <si>
    <t>Радищева, 12</t>
  </si>
  <si>
    <t>Радищева, 2</t>
  </si>
  <si>
    <t>Радищева, 7</t>
  </si>
  <si>
    <t>Радищева, 8</t>
  </si>
  <si>
    <t>Радищева, 9</t>
  </si>
  <si>
    <t>Фрунзе, 26</t>
  </si>
  <si>
    <t>Фрунзе, 32</t>
  </si>
  <si>
    <t>Фрунзе, 34</t>
  </si>
  <si>
    <t>Фрунзе, 36</t>
  </si>
  <si>
    <t>Фрунзе, 54</t>
  </si>
  <si>
    <t>Фрунзе, 56</t>
  </si>
  <si>
    <t>Фурманова, 56</t>
  </si>
  <si>
    <t>Чернышевского, 17</t>
  </si>
  <si>
    <t>Чкалова, 16</t>
  </si>
  <si>
    <t>Чкалова, 19</t>
  </si>
  <si>
    <t>Чкалова, 19а</t>
  </si>
  <si>
    <t>Чкалова, 21</t>
  </si>
  <si>
    <t>Чкалова, 27</t>
  </si>
  <si>
    <t>Чкалова, 29</t>
  </si>
  <si>
    <t>Чкалова, 31</t>
  </si>
  <si>
    <t>Чкалова, 33</t>
  </si>
  <si>
    <t>Чкалова, 45</t>
  </si>
  <si>
    <t>Л.Комсомола, 28</t>
  </si>
  <si>
    <t>Металл.</t>
  </si>
  <si>
    <t>Л.Комсомола, 30</t>
  </si>
  <si>
    <t>Ленина, 26</t>
  </si>
  <si>
    <t>Ленина, 42</t>
  </si>
  <si>
    <t>Ленина, 44</t>
  </si>
  <si>
    <t>Ленина, 52</t>
  </si>
  <si>
    <t>Ленина, 62</t>
  </si>
  <si>
    <t>Ленина, 68</t>
  </si>
  <si>
    <t>Ленина, 74</t>
  </si>
  <si>
    <t>всего по категории</t>
  </si>
  <si>
    <t>Коммунальная, 25</t>
  </si>
  <si>
    <t>шифер</t>
  </si>
  <si>
    <t>коммунальная, 25а</t>
  </si>
  <si>
    <t>4.1 МКД с  уборкой мест общего пользования и придомовой территории, отопление, ГВС-теплообменник, ХПВ, водоотведение,э/энергия, электроплита. Квартирного типа.</t>
  </si>
  <si>
    <t>Летняя, 1 -Прибрежный</t>
  </si>
  <si>
    <t>Летняя, 2 -Прибрежный</t>
  </si>
  <si>
    <t>Летняя, 3 -Прибрежный</t>
  </si>
  <si>
    <t>всего по жилфонду</t>
  </si>
  <si>
    <t>№ пп</t>
  </si>
  <si>
    <t>кол-во этажей</t>
  </si>
  <si>
    <t>уборочная площадь стен (каблучков), м2</t>
  </si>
  <si>
    <t>Уброчная площадь дверей, м2</t>
  </si>
  <si>
    <t>уборочная площадь окон, м2</t>
  </si>
  <si>
    <t>кол-во плофонов, шт.</t>
  </si>
  <si>
    <t>Уборочная площадь оконных огражденийи подоконников, м2</t>
  </si>
  <si>
    <t>уборочная площадь отопительных приборов, м2</t>
  </si>
  <si>
    <t>Уборочная площадь перил, м2</t>
  </si>
  <si>
    <t>Уборочная площадь шкафов для электрочетчикови слаботочных устройств, м2</t>
  </si>
  <si>
    <t>Уборочная площадь пола лифта, м2</t>
  </si>
  <si>
    <t>Уборочная площадь перед мусорокамерами, м2</t>
  </si>
  <si>
    <t>Уборочная площадь стен и дверей лифта, м2</t>
  </si>
  <si>
    <t>Уборочная площадь лестничных маршей и площадок, м2</t>
  </si>
  <si>
    <t>Всего</t>
  </si>
  <si>
    <t>1,2 этаж</t>
  </si>
  <si>
    <t>выше 2 этажа</t>
  </si>
  <si>
    <t>Этажность, 5 дома крупные</t>
  </si>
  <si>
    <t>всего</t>
  </si>
  <si>
    <t>всего жилфонд</t>
  </si>
  <si>
    <t>1.11 МКД с  уборкой мест общего пользования и придомовой территории, отопление, ГВС, ХПВ, водоотведение,э/энергия, газ. Квартирного типа.Шифер, металл.</t>
  </si>
  <si>
    <t>1.13 МКД с уборкой МОП и придомовой территории, отопление, ГВС, ХПВ, водоотведение, э/энергия, электроплиты. Коридорного типа.</t>
  </si>
  <si>
    <t>1.11  МКД с  уборкой мест общего пользования и придомовой территории, отопление, ГВС, ХПВ, водоотведение,э/энергия, газ. Квартирного типа.Мягкая кровля</t>
  </si>
  <si>
    <t>1.10 МКД с  уборкой  придомовой территории, отопление, ГВС, ХПВ, водоотведение,э/энергия, электроплиты. Квартирного типа.</t>
  </si>
  <si>
    <t>1.7 МКД с лифтами,  уборкой мест общего пользования и придомовой территории, отопление, ГВС, ХПВ, водоотведение,э/энергия, газ.Квартирного типа.</t>
  </si>
  <si>
    <t>1.11. МКД с уборкой МИОП и придомовой территории,отопление, ГВС, ХПВ, водоотведение, э.энергия, газ. Квартирного типа. (кровля мягкая, этажность 5, дома средней величины)</t>
  </si>
  <si>
    <t>1.10 МКД с  уборкой  придомовой территории, отопление, ГВС, ХПВ, водоотведение,э/энергия,без газа и электроплит. Квартирного типа.</t>
  </si>
  <si>
    <t>Список домов с характкристиками по уборочным площадям по ООО УО ТКС на 01.10.2024.             Таблица 2.</t>
  </si>
  <si>
    <t>Список домов по группам и характеристикам ООО "УО "ТКС" на 01.09.2024 г.            Таблица 1.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</si>
</sst>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"/>
    <numFmt numFmtId="166" formatCode="#,##0;[Red]\-#,##0"/>
    <numFmt numFmtId="167" formatCode="#,##0.00;[Red]\-#,##0.00"/>
  </numFmts>
  <fonts count="25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0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7" fillId="0" borderId="4" xfId="0" applyFont="1" applyBorder="1"/>
    <xf numFmtId="0" fontId="8" fillId="0" borderId="4" xfId="0" applyFont="1" applyBorder="1"/>
    <xf numFmtId="0" fontId="5" fillId="0" borderId="5" xfId="0" applyFont="1" applyBorder="1"/>
    <xf numFmtId="0" fontId="9" fillId="0" borderId="5" xfId="0" applyFont="1" applyBorder="1" applyAlignment="1">
      <alignment horizontal="center"/>
    </xf>
    <xf numFmtId="49" fontId="10" fillId="0" borderId="5" xfId="0" applyNumberFormat="1" applyFont="1" applyBorder="1" applyAlignment="1">
      <alignment wrapText="1"/>
    </xf>
    <xf numFmtId="0" fontId="9" fillId="0" borderId="5" xfId="0" applyFont="1" applyBorder="1"/>
    <xf numFmtId="164" fontId="5" fillId="0" borderId="5" xfId="0" applyNumberFormat="1" applyFont="1" applyBorder="1"/>
    <xf numFmtId="164" fontId="5" fillId="3" borderId="5" xfId="0" applyNumberFormat="1" applyFont="1" applyFill="1" applyBorder="1"/>
    <xf numFmtId="164" fontId="0" fillId="0" borderId="5" xfId="0" applyNumberFormat="1" applyFont="1" applyBorder="1"/>
    <xf numFmtId="164" fontId="6" fillId="0" borderId="5" xfId="0" applyNumberFormat="1" applyFont="1" applyBorder="1" applyAlignment="1">
      <alignment horizontal="center"/>
    </xf>
    <xf numFmtId="0" fontId="5" fillId="0" borderId="2" xfId="0" applyFont="1" applyBorder="1"/>
    <xf numFmtId="0" fontId="9" fillId="0" borderId="2" xfId="0" applyFont="1" applyBorder="1" applyAlignment="1">
      <alignment horizontal="center"/>
    </xf>
    <xf numFmtId="49" fontId="11" fillId="0" borderId="2" xfId="0" applyNumberFormat="1" applyFont="1" applyBorder="1" applyAlignment="1">
      <alignment wrapText="1"/>
    </xf>
    <xf numFmtId="0" fontId="9" fillId="0" borderId="2" xfId="0" applyFont="1" applyBorder="1"/>
    <xf numFmtId="164" fontId="9" fillId="0" borderId="2" xfId="0" applyNumberFormat="1" applyFont="1" applyBorder="1"/>
    <xf numFmtId="164" fontId="5" fillId="3" borderId="2" xfId="0" applyNumberFormat="1" applyFont="1" applyFill="1" applyBorder="1"/>
    <xf numFmtId="164" fontId="0" fillId="0" borderId="2" xfId="0" applyNumberFormat="1" applyFont="1" applyBorder="1"/>
    <xf numFmtId="49" fontId="10" fillId="0" borderId="2" xfId="0" applyNumberFormat="1" applyFont="1" applyBorder="1" applyAlignment="1">
      <alignment wrapText="1"/>
    </xf>
    <xf numFmtId="164" fontId="5" fillId="0" borderId="2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/>
    <xf numFmtId="164" fontId="5" fillId="0" borderId="6" xfId="0" applyNumberFormat="1" applyFont="1" applyBorder="1"/>
    <xf numFmtId="164" fontId="5" fillId="3" borderId="1" xfId="0" applyNumberFormat="1" applyFont="1" applyFill="1" applyBorder="1"/>
    <xf numFmtId="164" fontId="0" fillId="0" borderId="1" xfId="0" applyNumberFormat="1" applyFont="1" applyBorder="1"/>
    <xf numFmtId="0" fontId="7" fillId="0" borderId="7" xfId="0" applyFont="1" applyBorder="1"/>
    <xf numFmtId="0" fontId="0" fillId="0" borderId="8" xfId="0" applyBorder="1"/>
    <xf numFmtId="0" fontId="2" fillId="0" borderId="8" xfId="0" applyFont="1" applyBorder="1"/>
    <xf numFmtId="49" fontId="12" fillId="0" borderId="8" xfId="0" applyNumberFormat="1" applyFont="1" applyBorder="1" applyAlignment="1">
      <alignment wrapText="1"/>
    </xf>
    <xf numFmtId="0" fontId="13" fillId="0" borderId="8" xfId="0" applyFont="1" applyBorder="1"/>
    <xf numFmtId="164" fontId="13" fillId="0" borderId="8" xfId="0" applyNumberFormat="1" applyFont="1" applyBorder="1"/>
    <xf numFmtId="164" fontId="13" fillId="0" borderId="9" xfId="0" applyNumberFormat="1" applyFont="1" applyBorder="1"/>
    <xf numFmtId="164" fontId="3" fillId="0" borderId="10" xfId="0" applyNumberFormat="1" applyFont="1" applyBorder="1"/>
    <xf numFmtId="164" fontId="3" fillId="0" borderId="11" xfId="0" applyNumberFormat="1" applyFont="1" applyBorder="1"/>
    <xf numFmtId="0" fontId="5" fillId="0" borderId="12" xfId="0" applyFont="1" applyBorder="1"/>
    <xf numFmtId="3" fontId="5" fillId="0" borderId="12" xfId="0" applyNumberFormat="1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0" fontId="14" fillId="0" borderId="2" xfId="0" applyFont="1" applyBorder="1"/>
    <xf numFmtId="0" fontId="15" fillId="0" borderId="4" xfId="0" applyFont="1" applyBorder="1"/>
    <xf numFmtId="0" fontId="5" fillId="0" borderId="14" xfId="0" applyFont="1" applyBorder="1"/>
    <xf numFmtId="0" fontId="5" fillId="0" borderId="14" xfId="0" applyFont="1" applyBorder="1" applyAlignment="1">
      <alignment horizontal="right"/>
    </xf>
    <xf numFmtId="164" fontId="5" fillId="0" borderId="14" xfId="0" applyNumberFormat="1" applyFont="1" applyBorder="1"/>
    <xf numFmtId="164" fontId="5" fillId="0" borderId="15" xfId="0" applyNumberFormat="1" applyFont="1" applyBorder="1"/>
    <xf numFmtId="164" fontId="6" fillId="0" borderId="2" xfId="0" applyNumberFormat="1" applyFont="1" applyBorder="1"/>
    <xf numFmtId="0" fontId="6" fillId="0" borderId="5" xfId="0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/>
    <xf numFmtId="0" fontId="5" fillId="0" borderId="16" xfId="0" applyFont="1" applyBorder="1" applyAlignment="1">
      <alignment horizontal="right"/>
    </xf>
    <xf numFmtId="164" fontId="5" fillId="0" borderId="16" xfId="0" applyNumberFormat="1" applyFont="1" applyBorder="1"/>
    <xf numFmtId="164" fontId="5" fillId="0" borderId="17" xfId="0" applyNumberFormat="1" applyFont="1" applyBorder="1"/>
    <xf numFmtId="164" fontId="6" fillId="0" borderId="1" xfId="0" applyNumberFormat="1" applyFont="1" applyBorder="1"/>
    <xf numFmtId="0" fontId="7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right"/>
    </xf>
    <xf numFmtId="164" fontId="6" fillId="0" borderId="5" xfId="0" applyNumberFormat="1" applyFont="1" applyBorder="1"/>
    <xf numFmtId="165" fontId="7" fillId="0" borderId="7" xfId="0" applyNumberFormat="1" applyFont="1" applyBorder="1"/>
    <xf numFmtId="0" fontId="7" fillId="0" borderId="8" xfId="0" applyFont="1" applyBorder="1"/>
    <xf numFmtId="0" fontId="0" fillId="0" borderId="11" xfId="0" applyFont="1" applyBorder="1"/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14" fillId="0" borderId="5" xfId="0" applyFont="1" applyBorder="1"/>
    <xf numFmtId="164" fontId="6" fillId="3" borderId="2" xfId="0" applyNumberFormat="1" applyFont="1" applyFill="1" applyBorder="1"/>
    <xf numFmtId="0" fontId="14" fillId="3" borderId="2" xfId="0" applyFont="1" applyFill="1" applyBorder="1"/>
    <xf numFmtId="0" fontId="14" fillId="0" borderId="1" xfId="0" applyFont="1" applyBorder="1"/>
    <xf numFmtId="0" fontId="0" fillId="0" borderId="4" xfId="0" applyFont="1" applyBorder="1"/>
    <xf numFmtId="0" fontId="0" fillId="0" borderId="12" xfId="0" applyBorder="1"/>
    <xf numFmtId="165" fontId="0" fillId="0" borderId="12" xfId="0" applyNumberFormat="1" applyBorder="1"/>
    <xf numFmtId="0" fontId="0" fillId="0" borderId="13" xfId="0" applyBorder="1"/>
    <xf numFmtId="0" fontId="0" fillId="0" borderId="5" xfId="0" applyFont="1" applyBorder="1"/>
    <xf numFmtId="0" fontId="7" fillId="0" borderId="0" xfId="0" applyFont="1"/>
    <xf numFmtId="0" fontId="0" fillId="0" borderId="16" xfId="0" applyBorder="1"/>
    <xf numFmtId="0" fontId="0" fillId="0" borderId="17" xfId="0" applyBorder="1"/>
    <xf numFmtId="0" fontId="0" fillId="0" borderId="1" xfId="0" applyFont="1" applyBorder="1"/>
    <xf numFmtId="0" fontId="3" fillId="0" borderId="8" xfId="0" applyFont="1" applyBorder="1"/>
    <xf numFmtId="3" fontId="3" fillId="0" borderId="8" xfId="0" applyNumberFormat="1" applyFont="1" applyBorder="1"/>
    <xf numFmtId="0" fontId="3" fillId="0" borderId="9" xfId="0" applyFont="1" applyBorder="1"/>
    <xf numFmtId="0" fontId="3" fillId="0" borderId="11" xfId="0" applyFont="1" applyBorder="1"/>
    <xf numFmtId="0" fontId="0" fillId="0" borderId="2" xfId="0" applyFont="1" applyBorder="1"/>
    <xf numFmtId="3" fontId="5" fillId="0" borderId="16" xfId="0" applyNumberFormat="1" applyFont="1" applyBorder="1"/>
    <xf numFmtId="164" fontId="17" fillId="0" borderId="8" xfId="0" applyNumberFormat="1" applyFont="1" applyBorder="1"/>
    <xf numFmtId="164" fontId="17" fillId="0" borderId="9" xfId="0" applyNumberFormat="1" applyFont="1" applyBorder="1"/>
    <xf numFmtId="164" fontId="17" fillId="0" borderId="10" xfId="0" applyNumberFormat="1" applyFont="1" applyBorder="1"/>
    <xf numFmtId="0" fontId="18" fillId="0" borderId="4" xfId="0" applyFont="1" applyBorder="1" applyAlignment="1">
      <alignment horizontal="right" vertical="center"/>
    </xf>
    <xf numFmtId="0" fontId="19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right" vertical="center"/>
    </xf>
    <xf numFmtId="0" fontId="0" fillId="0" borderId="4" xfId="0" applyBorder="1"/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Font="1" applyBorder="1"/>
    <xf numFmtId="4" fontId="0" fillId="0" borderId="2" xfId="0" applyNumberFormat="1" applyFont="1" applyBorder="1" applyProtection="1">
      <protection locked="0" hidden="1"/>
    </xf>
    <xf numFmtId="4" fontId="0" fillId="0" borderId="2" xfId="0" applyNumberFormat="1" applyFont="1" applyBorder="1" applyAlignment="1" applyProtection="1">
      <alignment horizontal="right"/>
      <protection locked="0"/>
    </xf>
    <xf numFmtId="4" fontId="21" fillId="3" borderId="2" xfId="0" applyNumberFormat="1" applyFont="1" applyFill="1" applyBorder="1"/>
    <xf numFmtId="0" fontId="22" fillId="0" borderId="14" xfId="0" applyFont="1" applyBorder="1"/>
    <xf numFmtId="4" fontId="22" fillId="3" borderId="2" xfId="0" applyNumberFormat="1" applyFont="1" applyFill="1" applyBorder="1"/>
    <xf numFmtId="164" fontId="22" fillId="0" borderId="15" xfId="0" applyNumberFormat="1" applyFont="1" applyBorder="1"/>
    <xf numFmtId="164" fontId="22" fillId="3" borderId="2" xfId="0" applyNumberFormat="1" applyFont="1" applyFill="1" applyBorder="1"/>
    <xf numFmtId="164" fontId="23" fillId="0" borderId="2" xfId="0" applyNumberFormat="1" applyFont="1" applyBorder="1"/>
    <xf numFmtId="4" fontId="23" fillId="0" borderId="2" xfId="0" applyNumberFormat="1" applyFont="1" applyBorder="1"/>
    <xf numFmtId="0" fontId="5" fillId="3" borderId="2" xfId="0" applyFont="1" applyFill="1" applyBorder="1"/>
    <xf numFmtId="0" fontId="22" fillId="3" borderId="2" xfId="0" applyFont="1" applyFill="1" applyBorder="1"/>
    <xf numFmtId="3" fontId="22" fillId="3" borderId="2" xfId="0" applyNumberFormat="1" applyFont="1" applyFill="1" applyBorder="1"/>
    <xf numFmtId="164" fontId="23" fillId="3" borderId="2" xfId="0" applyNumberFormat="1" applyFont="1" applyFill="1" applyBorder="1"/>
    <xf numFmtId="0" fontId="22" fillId="0" borderId="2" xfId="0" applyFont="1" applyBorder="1"/>
    <xf numFmtId="164" fontId="22" fillId="0" borderId="2" xfId="0" applyNumberFormat="1" applyFont="1" applyBorder="1"/>
    <xf numFmtId="3" fontId="22" fillId="0" borderId="2" xfId="0" applyNumberFormat="1" applyFont="1" applyBorder="1"/>
    <xf numFmtId="0" fontId="24" fillId="0" borderId="2" xfId="0" applyFont="1" applyBorder="1"/>
    <xf numFmtId="0" fontId="23" fillId="0" borderId="2" xfId="0" applyFont="1" applyBorder="1"/>
    <xf numFmtId="0" fontId="22" fillId="0" borderId="4" xfId="0" applyFont="1" applyBorder="1"/>
    <xf numFmtId="166" fontId="22" fillId="0" borderId="4" xfId="0" applyNumberFormat="1" applyFont="1" applyBorder="1"/>
    <xf numFmtId="167" fontId="22" fillId="0" borderId="4" xfId="0" applyNumberFormat="1" applyFont="1" applyBorder="1"/>
    <xf numFmtId="0" fontId="1" fillId="0" borderId="4" xfId="0" applyFont="1" applyBorder="1"/>
    <xf numFmtId="3" fontId="19" fillId="0" borderId="4" xfId="0" applyNumberFormat="1" applyFont="1" applyBorder="1" applyAlignment="1">
      <alignment horizontal="right" vertical="center"/>
    </xf>
    <xf numFmtId="165" fontId="0" fillId="0" borderId="0" xfId="0" applyNumberFormat="1"/>
    <xf numFmtId="3" fontId="0" fillId="0" borderId="0" xfId="0" applyNumberFormat="1"/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5" fillId="0" borderId="18" xfId="0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164" fontId="5" fillId="0" borderId="19" xfId="0" applyNumberFormat="1" applyFont="1" applyBorder="1"/>
    <xf numFmtId="164" fontId="5" fillId="3" borderId="20" xfId="0" applyNumberFormat="1" applyFont="1" applyFill="1" applyBorder="1"/>
    <xf numFmtId="0" fontId="6" fillId="0" borderId="20" xfId="0" applyFont="1" applyBorder="1"/>
    <xf numFmtId="0" fontId="15" fillId="0" borderId="7" xfId="0" applyFont="1" applyBorder="1"/>
    <xf numFmtId="0" fontId="15" fillId="0" borderId="8" xfId="0" applyFont="1" applyBorder="1"/>
    <xf numFmtId="3" fontId="15" fillId="0" borderId="8" xfId="0" applyNumberFormat="1" applyFont="1" applyBorder="1"/>
    <xf numFmtId="0" fontId="16" fillId="0" borderId="22" xfId="0" applyFont="1" applyBorder="1"/>
    <xf numFmtId="164" fontId="6" fillId="0" borderId="20" xfId="0" applyNumberFormat="1" applyFont="1" applyBorder="1" applyAlignment="1">
      <alignment horizontal="center"/>
    </xf>
    <xf numFmtId="0" fontId="3" fillId="0" borderId="23" xfId="0" applyFont="1" applyBorder="1"/>
    <xf numFmtId="0" fontId="5" fillId="0" borderId="18" xfId="0" applyFont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3" fontId="5" fillId="3" borderId="2" xfId="0" applyNumberFormat="1" applyFont="1" applyFill="1" applyBorder="1"/>
    <xf numFmtId="3" fontId="5" fillId="0" borderId="2" xfId="0" applyNumberFormat="1" applyFont="1" applyBorder="1"/>
    <xf numFmtId="0" fontId="15" fillId="0" borderId="2" xfId="0" applyFont="1" applyBorder="1"/>
    <xf numFmtId="16" fontId="0" fillId="0" borderId="0" xfId="0" applyNumberFormat="1"/>
    <xf numFmtId="4" fontId="13" fillId="0" borderId="8" xfId="0" applyNumberFormat="1" applyFont="1" applyBorder="1"/>
    <xf numFmtId="164" fontId="7" fillId="0" borderId="8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230"/>
  <sheetViews>
    <sheetView workbookViewId="0">
      <pane ySplit="2475" topLeftCell="A205" activePane="bottomLeft"/>
      <selection activeCell="AF4" sqref="AF4"/>
      <selection pane="bottomLeft" activeCell="Z4" sqref="Z4"/>
    </sheetView>
  </sheetViews>
  <sheetFormatPr defaultRowHeight="15"/>
  <cols>
    <col min="1" max="1" width="7.7109375" customWidth="1"/>
    <col min="2" max="2" width="21.7109375" customWidth="1"/>
    <col min="3" max="3" width="9.28515625" customWidth="1"/>
    <col min="4" max="4" width="11.85546875" customWidth="1"/>
    <col min="5" max="5" width="8.140625"/>
    <col min="6" max="6" width="3.5703125"/>
    <col min="7" max="7" width="4" bestFit="1" customWidth="1"/>
    <col min="8" max="8" width="6.140625"/>
    <col min="9" max="9" width="8.140625"/>
    <col min="10" max="10" width="8.85546875" bestFit="1" customWidth="1"/>
    <col min="11" max="11" width="11" bestFit="1" customWidth="1"/>
    <col min="12" max="12" width="10.7109375" customWidth="1"/>
    <col min="13" max="13" width="8.85546875" bestFit="1" customWidth="1"/>
    <col min="14" max="14" width="8.140625"/>
    <col min="16" max="16" width="7.7109375" customWidth="1"/>
    <col min="17" max="20" width="8.140625"/>
    <col min="21" max="21" width="10.28515625" bestFit="1" customWidth="1"/>
    <col min="22" max="1025" width="8.140625"/>
  </cols>
  <sheetData>
    <row r="1" spans="1:18" ht="15.75">
      <c r="A1" s="150" t="s">
        <v>272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</row>
    <row r="2" spans="1:18" ht="13.9" customHeight="1">
      <c r="A2" s="151" t="s">
        <v>0</v>
      </c>
      <c r="B2" s="151" t="s">
        <v>1</v>
      </c>
      <c r="C2" s="152" t="s">
        <v>2</v>
      </c>
      <c r="D2" s="152" t="s">
        <v>3</v>
      </c>
      <c r="E2" s="152" t="s">
        <v>4</v>
      </c>
      <c r="F2" s="146" t="s">
        <v>5</v>
      </c>
      <c r="G2" s="146" t="s">
        <v>6</v>
      </c>
      <c r="H2" s="146" t="s">
        <v>7</v>
      </c>
      <c r="I2" s="146" t="s">
        <v>8</v>
      </c>
      <c r="J2" s="153" t="s">
        <v>9</v>
      </c>
      <c r="K2" s="153"/>
      <c r="L2" s="153"/>
      <c r="M2" s="153"/>
      <c r="N2" s="153"/>
      <c r="O2" s="153"/>
      <c r="P2" s="146" t="s">
        <v>10</v>
      </c>
    </row>
    <row r="3" spans="1:18" ht="13.9" customHeight="1">
      <c r="A3" s="151"/>
      <c r="B3" s="151"/>
      <c r="C3" s="152"/>
      <c r="D3" s="152"/>
      <c r="E3" s="152"/>
      <c r="F3" s="146"/>
      <c r="G3" s="146"/>
      <c r="H3" s="146"/>
      <c r="I3" s="146"/>
      <c r="J3" s="146" t="s">
        <v>11</v>
      </c>
      <c r="K3" s="146" t="s">
        <v>12</v>
      </c>
      <c r="L3" s="146" t="s">
        <v>13</v>
      </c>
      <c r="M3" s="146" t="s">
        <v>14</v>
      </c>
      <c r="N3" s="147" t="s">
        <v>15</v>
      </c>
      <c r="O3" s="147" t="s">
        <v>16</v>
      </c>
      <c r="P3" s="146"/>
    </row>
    <row r="4" spans="1:18" ht="66.400000000000006" customHeight="1" thickBot="1">
      <c r="A4" s="151"/>
      <c r="B4" s="151"/>
      <c r="C4" s="152"/>
      <c r="D4" s="152"/>
      <c r="E4" s="152"/>
      <c r="F4" s="146"/>
      <c r="G4" s="146"/>
      <c r="H4" s="146"/>
      <c r="I4" s="146"/>
      <c r="J4" s="146"/>
      <c r="K4" s="146"/>
      <c r="L4" s="146"/>
      <c r="M4" s="146"/>
      <c r="N4" s="147"/>
      <c r="O4" s="147"/>
      <c r="P4" s="146"/>
    </row>
    <row r="5" spans="1:18" ht="28.35" customHeight="1" thickBot="1">
      <c r="A5" s="148" t="s">
        <v>268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R5" s="143"/>
    </row>
    <row r="6" spans="1:18">
      <c r="A6" s="3">
        <v>1</v>
      </c>
      <c r="B6" s="3" t="s">
        <v>21</v>
      </c>
      <c r="C6" s="4">
        <v>1993</v>
      </c>
      <c r="D6" s="5" t="s">
        <v>22</v>
      </c>
      <c r="E6" s="6" t="s">
        <v>18</v>
      </c>
      <c r="F6" s="3">
        <v>9</v>
      </c>
      <c r="G6" s="3">
        <v>3</v>
      </c>
      <c r="H6" s="3">
        <v>107</v>
      </c>
      <c r="I6" s="3">
        <v>308</v>
      </c>
      <c r="J6" s="7">
        <v>5684</v>
      </c>
      <c r="K6" s="7">
        <v>51.8</v>
      </c>
      <c r="L6" s="7">
        <f t="shared" ref="L6:L12" si="0">J6+K6</f>
        <v>5735.8</v>
      </c>
      <c r="M6" s="7">
        <f>2597-956.27</f>
        <v>1640.73</v>
      </c>
      <c r="N6" s="8">
        <v>1083.5</v>
      </c>
      <c r="O6" s="9">
        <v>956.3</v>
      </c>
      <c r="P6" s="10" t="s">
        <v>19</v>
      </c>
    </row>
    <row r="7" spans="1:18" ht="24.75">
      <c r="A7" s="11">
        <v>2</v>
      </c>
      <c r="B7" s="11" t="s">
        <v>23</v>
      </c>
      <c r="C7" s="12">
        <v>1986</v>
      </c>
      <c r="D7" s="13" t="s">
        <v>24</v>
      </c>
      <c r="E7" s="14" t="s">
        <v>18</v>
      </c>
      <c r="F7" s="14">
        <v>9</v>
      </c>
      <c r="G7" s="14">
        <v>3</v>
      </c>
      <c r="H7" s="14">
        <v>106</v>
      </c>
      <c r="I7" s="14">
        <v>261</v>
      </c>
      <c r="J7" s="15">
        <v>5520.22</v>
      </c>
      <c r="K7" s="15">
        <f>95.6+109.3+163.7</f>
        <v>368.59999999999997</v>
      </c>
      <c r="L7" s="15">
        <f t="shared" si="0"/>
        <v>5888.8200000000006</v>
      </c>
      <c r="M7" s="15">
        <f>1957-935.18</f>
        <v>1021.82</v>
      </c>
      <c r="N7" s="16">
        <v>940.3</v>
      </c>
      <c r="O7" s="17">
        <v>935.2</v>
      </c>
      <c r="P7" s="10" t="s">
        <v>19</v>
      </c>
    </row>
    <row r="8" spans="1:18">
      <c r="A8" s="11">
        <v>3</v>
      </c>
      <c r="B8" s="11" t="s">
        <v>25</v>
      </c>
      <c r="C8" s="12">
        <v>1990</v>
      </c>
      <c r="D8" s="18" t="s">
        <v>26</v>
      </c>
      <c r="E8" s="14" t="s">
        <v>18</v>
      </c>
      <c r="F8" s="11">
        <v>9</v>
      </c>
      <c r="G8" s="11">
        <v>3</v>
      </c>
      <c r="H8" s="11">
        <v>104</v>
      </c>
      <c r="I8" s="11">
        <v>255</v>
      </c>
      <c r="J8" s="19">
        <v>5493.4</v>
      </c>
      <c r="K8" s="19">
        <v>0</v>
      </c>
      <c r="L8" s="19">
        <f t="shared" si="0"/>
        <v>5493.4</v>
      </c>
      <c r="M8" s="19">
        <f>2240-1059.57</f>
        <v>1180.43</v>
      </c>
      <c r="N8" s="16">
        <v>1066.5</v>
      </c>
      <c r="O8" s="17">
        <v>1059.5999999999999</v>
      </c>
      <c r="P8" s="10" t="s">
        <v>19</v>
      </c>
    </row>
    <row r="9" spans="1:18">
      <c r="A9" s="11">
        <v>4</v>
      </c>
      <c r="B9" s="11" t="s">
        <v>27</v>
      </c>
      <c r="C9" s="20">
        <v>2002</v>
      </c>
      <c r="D9" s="11" t="s">
        <v>22</v>
      </c>
      <c r="E9" s="11" t="s">
        <v>18</v>
      </c>
      <c r="F9" s="11">
        <v>9</v>
      </c>
      <c r="G9" s="11">
        <v>3</v>
      </c>
      <c r="H9" s="11">
        <v>105</v>
      </c>
      <c r="I9" s="11">
        <v>267</v>
      </c>
      <c r="J9" s="19">
        <v>5601.5</v>
      </c>
      <c r="K9" s="19">
        <v>145.69999999999999</v>
      </c>
      <c r="L9" s="19">
        <f t="shared" si="0"/>
        <v>5747.2</v>
      </c>
      <c r="M9" s="19">
        <f>2597-956.27</f>
        <v>1640.73</v>
      </c>
      <c r="N9" s="16">
        <v>1062</v>
      </c>
      <c r="O9" s="17">
        <v>936</v>
      </c>
      <c r="P9" s="10" t="s">
        <v>19</v>
      </c>
    </row>
    <row r="10" spans="1:18">
      <c r="A10" s="11">
        <v>5</v>
      </c>
      <c r="B10" s="11" t="s">
        <v>28</v>
      </c>
      <c r="C10" s="20">
        <v>1996</v>
      </c>
      <c r="D10" s="11" t="s">
        <v>22</v>
      </c>
      <c r="E10" s="11" t="s">
        <v>18</v>
      </c>
      <c r="F10" s="11">
        <v>9</v>
      </c>
      <c r="G10" s="11">
        <v>3</v>
      </c>
      <c r="H10" s="11">
        <v>106</v>
      </c>
      <c r="I10" s="11">
        <v>309</v>
      </c>
      <c r="J10" s="19">
        <v>5688.5</v>
      </c>
      <c r="K10" s="19">
        <v>0</v>
      </c>
      <c r="L10" s="19">
        <f t="shared" si="0"/>
        <v>5688.5</v>
      </c>
      <c r="M10" s="19">
        <f>1946-988</f>
        <v>958</v>
      </c>
      <c r="N10" s="16">
        <v>1065.4000000000001</v>
      </c>
      <c r="O10" s="17">
        <v>988</v>
      </c>
      <c r="P10" s="10" t="s">
        <v>19</v>
      </c>
    </row>
    <row r="11" spans="1:18">
      <c r="A11" s="11">
        <v>6</v>
      </c>
      <c r="B11" s="11" t="s">
        <v>29</v>
      </c>
      <c r="C11" s="20">
        <v>1988</v>
      </c>
      <c r="D11" s="11" t="s">
        <v>22</v>
      </c>
      <c r="E11" s="11" t="s">
        <v>18</v>
      </c>
      <c r="F11" s="11">
        <v>9</v>
      </c>
      <c r="G11" s="11">
        <v>3</v>
      </c>
      <c r="H11" s="11">
        <v>106</v>
      </c>
      <c r="I11" s="11">
        <v>254</v>
      </c>
      <c r="J11" s="19">
        <v>5545.7</v>
      </c>
      <c r="K11" s="19">
        <f>200.4+91</f>
        <v>291.39999999999998</v>
      </c>
      <c r="L11" s="19">
        <f t="shared" si="0"/>
        <v>5837.0999999999995</v>
      </c>
      <c r="M11" s="19">
        <f>1885-1015.06</f>
        <v>869.94</v>
      </c>
      <c r="N11" s="16">
        <v>1085.5999999999999</v>
      </c>
      <c r="O11" s="17">
        <v>1015.1</v>
      </c>
      <c r="P11" s="10" t="s">
        <v>19</v>
      </c>
    </row>
    <row r="12" spans="1:18" ht="15.75" thickBot="1">
      <c r="A12" s="21">
        <v>7</v>
      </c>
      <c r="B12" s="21" t="s">
        <v>30</v>
      </c>
      <c r="C12" s="22">
        <v>1991</v>
      </c>
      <c r="D12" s="21" t="s">
        <v>22</v>
      </c>
      <c r="E12" s="21" t="s">
        <v>18</v>
      </c>
      <c r="F12" s="21">
        <v>9</v>
      </c>
      <c r="G12" s="21">
        <v>3</v>
      </c>
      <c r="H12" s="21">
        <v>106</v>
      </c>
      <c r="I12" s="21">
        <v>263</v>
      </c>
      <c r="J12" s="23">
        <v>5611.6</v>
      </c>
      <c r="K12" s="23">
        <v>70.7</v>
      </c>
      <c r="L12" s="23">
        <f t="shared" si="0"/>
        <v>5682.3</v>
      </c>
      <c r="M12" s="24">
        <f>3038-1020.73</f>
        <v>2017.27</v>
      </c>
      <c r="N12" s="25">
        <v>1022.7</v>
      </c>
      <c r="O12" s="26">
        <v>1020.7</v>
      </c>
      <c r="P12" s="136" t="s">
        <v>19</v>
      </c>
    </row>
    <row r="13" spans="1:18" ht="15.75" thickBot="1">
      <c r="A13" s="27">
        <v>7</v>
      </c>
      <c r="B13" s="133" t="s">
        <v>20</v>
      </c>
      <c r="C13" s="29"/>
      <c r="D13" s="30"/>
      <c r="E13" s="29"/>
      <c r="F13" s="29"/>
      <c r="G13" s="31">
        <f t="shared" ref="G13:O13" si="1">SUM(G6:G12)</f>
        <v>21</v>
      </c>
      <c r="H13" s="31">
        <f t="shared" si="1"/>
        <v>740</v>
      </c>
      <c r="I13" s="31">
        <f t="shared" si="1"/>
        <v>1917</v>
      </c>
      <c r="J13" s="32">
        <f t="shared" si="1"/>
        <v>39144.92</v>
      </c>
      <c r="K13" s="32">
        <f t="shared" si="1"/>
        <v>928.19999999999993</v>
      </c>
      <c r="L13" s="144">
        <f>SUM(L6:L12)</f>
        <v>40073.120000000003</v>
      </c>
      <c r="M13" s="33">
        <f t="shared" si="1"/>
        <v>9328.9200000000019</v>
      </c>
      <c r="N13" s="34">
        <f t="shared" si="1"/>
        <v>7326.0000000000009</v>
      </c>
      <c r="O13" s="35">
        <f t="shared" si="1"/>
        <v>6910.9000000000005</v>
      </c>
      <c r="P13" s="137"/>
    </row>
    <row r="14" spans="1:18" ht="29.25" customHeight="1" thickBot="1">
      <c r="A14" s="149" t="s">
        <v>267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</row>
    <row r="15" spans="1:18" ht="15.75" thickBot="1">
      <c r="A15" s="126">
        <v>1</v>
      </c>
      <c r="B15" s="126" t="s">
        <v>31</v>
      </c>
      <c r="C15" s="126">
        <v>1993</v>
      </c>
      <c r="D15" s="126" t="s">
        <v>32</v>
      </c>
      <c r="E15" s="126" t="s">
        <v>33</v>
      </c>
      <c r="F15" s="126">
        <v>2</v>
      </c>
      <c r="G15" s="127">
        <v>2</v>
      </c>
      <c r="H15" s="127">
        <v>4</v>
      </c>
      <c r="I15" s="127">
        <v>12</v>
      </c>
      <c r="J15" s="128">
        <v>265</v>
      </c>
      <c r="K15" s="128">
        <v>0</v>
      </c>
      <c r="L15" s="128">
        <f>J15+K15</f>
        <v>265</v>
      </c>
      <c r="M15" s="129">
        <v>0</v>
      </c>
      <c r="N15" s="130">
        <v>0</v>
      </c>
      <c r="O15" s="131">
        <v>272.5</v>
      </c>
      <c r="P15" s="70" t="s">
        <v>34</v>
      </c>
    </row>
    <row r="16" spans="1:18" ht="15.75" thickBot="1">
      <c r="A16" s="132">
        <v>1</v>
      </c>
      <c r="B16" s="133" t="s">
        <v>20</v>
      </c>
      <c r="C16" s="133"/>
      <c r="D16" s="133"/>
      <c r="E16" s="133"/>
      <c r="F16" s="133"/>
      <c r="G16" s="134">
        <f t="shared" ref="G16:O16" si="2">SUM(G15:G15)</f>
        <v>2</v>
      </c>
      <c r="H16" s="134">
        <f t="shared" si="2"/>
        <v>4</v>
      </c>
      <c r="I16" s="134">
        <f t="shared" si="2"/>
        <v>12</v>
      </c>
      <c r="J16" s="134">
        <f t="shared" si="2"/>
        <v>265</v>
      </c>
      <c r="K16" s="134">
        <f t="shared" si="2"/>
        <v>0</v>
      </c>
      <c r="L16" s="134">
        <f t="shared" si="2"/>
        <v>265</v>
      </c>
      <c r="M16" s="134">
        <f t="shared" si="2"/>
        <v>0</v>
      </c>
      <c r="N16" s="134">
        <f t="shared" si="2"/>
        <v>0</v>
      </c>
      <c r="O16" s="134">
        <f t="shared" si="2"/>
        <v>272.5</v>
      </c>
      <c r="P16" s="135"/>
    </row>
    <row r="17" spans="1:21" ht="28.35" customHeight="1" thickBot="1">
      <c r="A17" s="155" t="s">
        <v>266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</row>
    <row r="18" spans="1:21" ht="13.9" customHeight="1">
      <c r="A18" s="156" t="s">
        <v>35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</row>
    <row r="19" spans="1:21" ht="13.9" customHeight="1">
      <c r="A19">
        <v>1</v>
      </c>
      <c r="B19" s="42" t="s">
        <v>36</v>
      </c>
      <c r="C19" s="43">
        <v>1992</v>
      </c>
      <c r="D19" s="42" t="s">
        <v>22</v>
      </c>
      <c r="E19" s="42" t="s">
        <v>18</v>
      </c>
      <c r="F19" s="42">
        <v>3</v>
      </c>
      <c r="G19" s="42">
        <v>2</v>
      </c>
      <c r="H19" s="42">
        <v>18</v>
      </c>
      <c r="I19" s="42">
        <v>34</v>
      </c>
      <c r="J19" s="44">
        <v>966.5</v>
      </c>
      <c r="K19" s="44">
        <v>0</v>
      </c>
      <c r="L19" s="44">
        <v>966.5</v>
      </c>
      <c r="M19" s="45">
        <v>1274</v>
      </c>
      <c r="N19" s="16">
        <v>107</v>
      </c>
      <c r="O19" s="46">
        <v>444</v>
      </c>
      <c r="P19" s="47" t="s">
        <v>19</v>
      </c>
    </row>
    <row r="20" spans="1:21" ht="13.9" customHeight="1">
      <c r="A20">
        <v>2</v>
      </c>
      <c r="B20" s="42" t="s">
        <v>37</v>
      </c>
      <c r="C20" s="43">
        <v>1994</v>
      </c>
      <c r="D20" s="42" t="s">
        <v>22</v>
      </c>
      <c r="E20" s="42" t="s">
        <v>18</v>
      </c>
      <c r="F20" s="42">
        <v>3</v>
      </c>
      <c r="G20" s="42">
        <v>2</v>
      </c>
      <c r="H20" s="42">
        <v>18</v>
      </c>
      <c r="I20" s="42">
        <v>39</v>
      </c>
      <c r="J20" s="44">
        <v>967.1</v>
      </c>
      <c r="K20" s="44">
        <v>0</v>
      </c>
      <c r="L20" s="44">
        <v>967.1</v>
      </c>
      <c r="M20" s="45">
        <v>1138</v>
      </c>
      <c r="N20" s="16">
        <v>116.2</v>
      </c>
      <c r="O20" s="46">
        <v>439</v>
      </c>
      <c r="P20" s="47" t="s">
        <v>19</v>
      </c>
    </row>
    <row r="21" spans="1:21" ht="13.9" customHeight="1">
      <c r="A21">
        <v>3</v>
      </c>
      <c r="B21" s="42" t="s">
        <v>38</v>
      </c>
      <c r="C21" s="43">
        <v>1960</v>
      </c>
      <c r="D21" s="42" t="s">
        <v>17</v>
      </c>
      <c r="E21" s="42" t="s">
        <v>18</v>
      </c>
      <c r="F21" s="42">
        <v>4</v>
      </c>
      <c r="G21" s="42">
        <v>2</v>
      </c>
      <c r="H21" s="42">
        <v>32</v>
      </c>
      <c r="I21" s="42">
        <v>45</v>
      </c>
      <c r="J21" s="44">
        <v>1239.17</v>
      </c>
      <c r="K21" s="44">
        <v>0</v>
      </c>
      <c r="L21" s="44">
        <f>K21+J21</f>
        <v>1239.17</v>
      </c>
      <c r="M21" s="45">
        <f>996-454</f>
        <v>542</v>
      </c>
      <c r="N21" s="16">
        <v>99.1</v>
      </c>
      <c r="O21" s="46">
        <v>567.5</v>
      </c>
      <c r="P21" s="47" t="s">
        <v>19</v>
      </c>
      <c r="U21" s="119"/>
    </row>
    <row r="22" spans="1:21" ht="13.9" customHeight="1">
      <c r="A22" s="1">
        <v>3</v>
      </c>
      <c r="B22" s="48" t="s">
        <v>20</v>
      </c>
      <c r="C22" s="49"/>
      <c r="D22" s="48"/>
      <c r="E22" s="48"/>
      <c r="F22" s="48"/>
      <c r="G22" s="41">
        <f t="shared" ref="G22:O22" si="3">SUM(G19:G21)</f>
        <v>6</v>
      </c>
      <c r="H22" s="41">
        <f t="shared" si="3"/>
        <v>68</v>
      </c>
      <c r="I22" s="41">
        <f t="shared" si="3"/>
        <v>118</v>
      </c>
      <c r="J22" s="41">
        <f t="shared" si="3"/>
        <v>3172.77</v>
      </c>
      <c r="K22" s="41">
        <f t="shared" si="3"/>
        <v>0</v>
      </c>
      <c r="L22" s="41">
        <f t="shared" si="3"/>
        <v>3172.77</v>
      </c>
      <c r="M22" s="41">
        <f t="shared" si="3"/>
        <v>2954</v>
      </c>
      <c r="N22" s="41">
        <f t="shared" si="3"/>
        <v>322.29999999999995</v>
      </c>
      <c r="O22" s="41">
        <f t="shared" si="3"/>
        <v>1450.5</v>
      </c>
      <c r="P22" s="50"/>
    </row>
    <row r="23" spans="1:21" ht="13.9" customHeight="1">
      <c r="A23" s="157" t="s">
        <v>39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</row>
    <row r="24" spans="1:21" ht="13.9" customHeight="1">
      <c r="A24" s="51">
        <v>1</v>
      </c>
      <c r="B24" s="42" t="s">
        <v>40</v>
      </c>
      <c r="C24" s="43">
        <v>1991</v>
      </c>
      <c r="D24" s="42" t="s">
        <v>26</v>
      </c>
      <c r="E24" s="42" t="s">
        <v>18</v>
      </c>
      <c r="F24" s="42">
        <v>5</v>
      </c>
      <c r="G24" s="42">
        <v>9</v>
      </c>
      <c r="H24" s="42">
        <v>110</v>
      </c>
      <c r="I24" s="42">
        <v>304</v>
      </c>
      <c r="J24" s="44">
        <v>5873.2</v>
      </c>
      <c r="K24" s="44">
        <v>256.5</v>
      </c>
      <c r="L24" s="44">
        <f t="shared" ref="L24:L29" si="4">J24+K24</f>
        <v>6129.7</v>
      </c>
      <c r="M24" s="45">
        <v>2202</v>
      </c>
      <c r="N24" s="19">
        <v>813</v>
      </c>
      <c r="O24" s="46">
        <v>2491.6</v>
      </c>
      <c r="P24" s="47" t="s">
        <v>19</v>
      </c>
    </row>
    <row r="25" spans="1:21" ht="13.9" customHeight="1">
      <c r="A25" s="51">
        <v>2</v>
      </c>
      <c r="B25" s="42" t="s">
        <v>41</v>
      </c>
      <c r="C25" s="43">
        <v>1986</v>
      </c>
      <c r="D25" s="42" t="s">
        <v>42</v>
      </c>
      <c r="E25" s="42" t="s">
        <v>18</v>
      </c>
      <c r="F25" s="42">
        <v>5</v>
      </c>
      <c r="G25" s="42">
        <v>12</v>
      </c>
      <c r="H25" s="42">
        <v>170</v>
      </c>
      <c r="I25" s="42">
        <v>400</v>
      </c>
      <c r="J25" s="44">
        <v>8637.85</v>
      </c>
      <c r="K25" s="44">
        <v>0</v>
      </c>
      <c r="L25" s="44">
        <f t="shared" si="4"/>
        <v>8637.85</v>
      </c>
      <c r="M25" s="45">
        <f>5890-2490.64</f>
        <v>3399.36</v>
      </c>
      <c r="N25" s="19">
        <v>1240.9000000000001</v>
      </c>
      <c r="O25" s="46">
        <v>2490.6</v>
      </c>
      <c r="P25" s="47" t="s">
        <v>19</v>
      </c>
    </row>
    <row r="26" spans="1:21" ht="13.9" customHeight="1">
      <c r="A26" s="51">
        <v>3</v>
      </c>
      <c r="B26" s="42" t="s">
        <v>43</v>
      </c>
      <c r="C26" s="43">
        <v>1987</v>
      </c>
      <c r="D26" s="42" t="s">
        <v>42</v>
      </c>
      <c r="E26" s="42" t="s">
        <v>18</v>
      </c>
      <c r="F26" s="42">
        <v>5</v>
      </c>
      <c r="G26" s="42">
        <v>8</v>
      </c>
      <c r="H26" s="42">
        <v>92</v>
      </c>
      <c r="I26" s="42">
        <v>190</v>
      </c>
      <c r="J26" s="44">
        <v>4660.8</v>
      </c>
      <c r="K26" s="44">
        <v>0</v>
      </c>
      <c r="L26" s="44">
        <f t="shared" si="4"/>
        <v>4660.8</v>
      </c>
      <c r="M26" s="45">
        <f>3325-1156.65</f>
        <v>2168.35</v>
      </c>
      <c r="N26" s="19">
        <v>710.5</v>
      </c>
      <c r="O26" s="46">
        <v>1748.8</v>
      </c>
      <c r="P26" s="47" t="s">
        <v>19</v>
      </c>
    </row>
    <row r="27" spans="1:21" ht="13.9" customHeight="1">
      <c r="A27" s="51">
        <v>4</v>
      </c>
      <c r="B27" s="42" t="s">
        <v>44</v>
      </c>
      <c r="C27" s="43">
        <v>1985</v>
      </c>
      <c r="D27" s="42" t="s">
        <v>26</v>
      </c>
      <c r="E27" s="42" t="s">
        <v>18</v>
      </c>
      <c r="F27" s="42">
        <v>5</v>
      </c>
      <c r="G27" s="42">
        <v>8</v>
      </c>
      <c r="H27" s="42">
        <v>112</v>
      </c>
      <c r="I27" s="42">
        <v>193</v>
      </c>
      <c r="J27" s="44">
        <v>5245</v>
      </c>
      <c r="K27" s="44">
        <v>0</v>
      </c>
      <c r="L27" s="44">
        <f t="shared" si="4"/>
        <v>5245</v>
      </c>
      <c r="M27" s="45">
        <f>2929-1549.59</f>
        <v>1379.41</v>
      </c>
      <c r="N27" s="19">
        <v>716.9</v>
      </c>
      <c r="O27" s="46">
        <v>1549.6</v>
      </c>
      <c r="P27" s="47" t="s">
        <v>19</v>
      </c>
    </row>
    <row r="28" spans="1:21" ht="13.9" customHeight="1">
      <c r="A28">
        <v>5</v>
      </c>
      <c r="B28" s="52" t="s">
        <v>45</v>
      </c>
      <c r="C28" s="53">
        <v>1980</v>
      </c>
      <c r="D28" s="52" t="s">
        <v>22</v>
      </c>
      <c r="E28" s="52" t="s">
        <v>18</v>
      </c>
      <c r="F28" s="52">
        <v>5</v>
      </c>
      <c r="G28" s="52">
        <v>8</v>
      </c>
      <c r="H28" s="52">
        <v>130</v>
      </c>
      <c r="I28" s="52">
        <v>286</v>
      </c>
      <c r="J28" s="54">
        <v>6286.47</v>
      </c>
      <c r="K28" s="54">
        <f>179.5+267</f>
        <v>446.5</v>
      </c>
      <c r="L28" s="54">
        <f t="shared" si="4"/>
        <v>6732.97</v>
      </c>
      <c r="M28" s="55">
        <f>3174-1732.1</f>
        <v>1441.9</v>
      </c>
      <c r="N28" s="23">
        <v>554.5</v>
      </c>
      <c r="O28" s="56">
        <v>2165.1</v>
      </c>
      <c r="P28" s="47" t="s">
        <v>19</v>
      </c>
    </row>
    <row r="29" spans="1:21" ht="13.9" customHeight="1">
      <c r="A29" s="51">
        <v>6</v>
      </c>
      <c r="B29" s="42" t="s">
        <v>46</v>
      </c>
      <c r="C29" s="43">
        <v>1984</v>
      </c>
      <c r="D29" s="42" t="s">
        <v>26</v>
      </c>
      <c r="E29" s="42" t="s">
        <v>18</v>
      </c>
      <c r="F29" s="42">
        <v>5</v>
      </c>
      <c r="G29" s="42">
        <v>8</v>
      </c>
      <c r="H29" s="42">
        <v>120</v>
      </c>
      <c r="I29" s="42">
        <v>247</v>
      </c>
      <c r="J29" s="44">
        <v>6129.4</v>
      </c>
      <c r="K29" s="44">
        <v>0</v>
      </c>
      <c r="L29" s="44">
        <f t="shared" si="4"/>
        <v>6129.4</v>
      </c>
      <c r="M29" s="45">
        <f>3258-829.47</f>
        <v>2428.5299999999997</v>
      </c>
      <c r="N29" s="16">
        <v>558</v>
      </c>
      <c r="O29" s="46">
        <v>1658.9</v>
      </c>
      <c r="P29" s="47" t="s">
        <v>19</v>
      </c>
    </row>
    <row r="30" spans="1:21" ht="13.9" customHeight="1" thickTop="1" thickBot="1">
      <c r="A30" s="57">
        <v>6</v>
      </c>
      <c r="B30" s="58" t="s">
        <v>20</v>
      </c>
      <c r="C30" s="59"/>
      <c r="D30" s="59"/>
      <c r="E30" s="59"/>
      <c r="F30" s="59"/>
      <c r="G30" s="57">
        <f t="shared" ref="G30:O30" si="5">SUM(G24:G29)</f>
        <v>53</v>
      </c>
      <c r="H30" s="57">
        <f t="shared" si="5"/>
        <v>734</v>
      </c>
      <c r="I30" s="57">
        <f t="shared" si="5"/>
        <v>1620</v>
      </c>
      <c r="J30" s="57">
        <f t="shared" si="5"/>
        <v>36832.720000000001</v>
      </c>
      <c r="K30" s="57">
        <f t="shared" si="5"/>
        <v>703</v>
      </c>
      <c r="L30" s="57">
        <f t="shared" si="5"/>
        <v>37535.72</v>
      </c>
      <c r="M30" s="57">
        <f t="shared" si="5"/>
        <v>13019.55</v>
      </c>
      <c r="N30" s="57">
        <f t="shared" si="5"/>
        <v>4593.8</v>
      </c>
      <c r="O30" s="57">
        <f t="shared" si="5"/>
        <v>12104.6</v>
      </c>
      <c r="P30" s="59"/>
    </row>
    <row r="31" spans="1:21" ht="13.9" customHeight="1" thickTop="1">
      <c r="A31" s="158" t="s">
        <v>47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</row>
    <row r="32" spans="1:21">
      <c r="A32" s="94">
        <v>1</v>
      </c>
      <c r="B32" s="11" t="s">
        <v>48</v>
      </c>
      <c r="C32" s="121">
        <v>1994</v>
      </c>
      <c r="D32" s="11" t="s">
        <v>17</v>
      </c>
      <c r="E32" s="11" t="s">
        <v>18</v>
      </c>
      <c r="F32" s="11">
        <v>5</v>
      </c>
      <c r="G32" s="11">
        <v>6</v>
      </c>
      <c r="H32" s="11">
        <v>80</v>
      </c>
      <c r="I32" s="11">
        <v>176</v>
      </c>
      <c r="J32" s="19">
        <v>4212</v>
      </c>
      <c r="K32" s="19">
        <v>0</v>
      </c>
      <c r="L32" s="19">
        <f t="shared" ref="L32:L45" si="6">J32+K32</f>
        <v>4212</v>
      </c>
      <c r="M32" s="19">
        <f>2666-1157.39</f>
        <v>1508.61</v>
      </c>
      <c r="N32" s="16">
        <v>503</v>
      </c>
      <c r="O32" s="46">
        <v>1157.4000000000001</v>
      </c>
      <c r="P32" s="122" t="s">
        <v>19</v>
      </c>
    </row>
    <row r="33" spans="1:16">
      <c r="A33" s="94">
        <v>2</v>
      </c>
      <c r="B33" s="11" t="s">
        <v>49</v>
      </c>
      <c r="C33" s="121">
        <v>1982</v>
      </c>
      <c r="D33" s="11" t="s">
        <v>17</v>
      </c>
      <c r="E33" s="11" t="s">
        <v>18</v>
      </c>
      <c r="F33" s="11">
        <v>5</v>
      </c>
      <c r="G33" s="11">
        <v>6</v>
      </c>
      <c r="H33" s="11">
        <v>90</v>
      </c>
      <c r="I33" s="11">
        <v>198</v>
      </c>
      <c r="J33" s="19">
        <v>4493.8</v>
      </c>
      <c r="K33" s="19">
        <v>0</v>
      </c>
      <c r="L33" s="19">
        <f t="shared" si="6"/>
        <v>4493.8</v>
      </c>
      <c r="M33" s="19">
        <f>2072-1215.08</f>
        <v>856.92000000000007</v>
      </c>
      <c r="N33" s="16">
        <v>402.5</v>
      </c>
      <c r="O33" s="46">
        <v>1215.0999999999999</v>
      </c>
      <c r="P33" s="122" t="s">
        <v>19</v>
      </c>
    </row>
    <row r="34" spans="1:16">
      <c r="A34" s="94">
        <v>3</v>
      </c>
      <c r="B34" s="11" t="s">
        <v>50</v>
      </c>
      <c r="C34" s="121">
        <v>1980</v>
      </c>
      <c r="D34" s="11" t="s">
        <v>17</v>
      </c>
      <c r="E34" s="11" t="s">
        <v>18</v>
      </c>
      <c r="F34" s="11">
        <v>5</v>
      </c>
      <c r="G34" s="11">
        <v>6</v>
      </c>
      <c r="H34" s="11">
        <v>90</v>
      </c>
      <c r="I34" s="11">
        <v>190</v>
      </c>
      <c r="J34" s="19">
        <v>4583.3</v>
      </c>
      <c r="K34" s="19">
        <v>0</v>
      </c>
      <c r="L34" s="19">
        <f t="shared" si="6"/>
        <v>4583.3</v>
      </c>
      <c r="M34" s="19">
        <f>2770-1261.29</f>
        <v>1508.71</v>
      </c>
      <c r="N34" s="16">
        <v>420.5</v>
      </c>
      <c r="O34" s="46">
        <v>1261.3</v>
      </c>
      <c r="P34" s="122" t="s">
        <v>19</v>
      </c>
    </row>
    <row r="35" spans="1:16">
      <c r="A35" s="94">
        <v>4</v>
      </c>
      <c r="B35" s="11" t="s">
        <v>51</v>
      </c>
      <c r="C35" s="121">
        <v>1986</v>
      </c>
      <c r="D35" s="11" t="s">
        <v>42</v>
      </c>
      <c r="E35" s="11" t="s">
        <v>18</v>
      </c>
      <c r="F35" s="11">
        <v>5</v>
      </c>
      <c r="G35" s="11">
        <v>7</v>
      </c>
      <c r="H35" s="11">
        <v>81</v>
      </c>
      <c r="I35" s="11">
        <v>217</v>
      </c>
      <c r="J35" s="19">
        <v>4350</v>
      </c>
      <c r="K35" s="19">
        <v>0</v>
      </c>
      <c r="L35" s="19">
        <f t="shared" si="6"/>
        <v>4350</v>
      </c>
      <c r="M35" s="19">
        <f>2178-1387.26</f>
        <v>790.74</v>
      </c>
      <c r="N35" s="16">
        <v>642.1</v>
      </c>
      <c r="O35" s="46">
        <v>1387.3</v>
      </c>
      <c r="P35" s="122" t="s">
        <v>19</v>
      </c>
    </row>
    <row r="36" spans="1:16">
      <c r="A36" s="94">
        <v>5</v>
      </c>
      <c r="B36" s="11" t="s">
        <v>52</v>
      </c>
      <c r="C36" s="121">
        <v>1991</v>
      </c>
      <c r="D36" s="11" t="s">
        <v>26</v>
      </c>
      <c r="E36" s="11" t="s">
        <v>18</v>
      </c>
      <c r="F36" s="11">
        <v>5</v>
      </c>
      <c r="G36" s="11">
        <v>4</v>
      </c>
      <c r="H36" s="11">
        <v>79</v>
      </c>
      <c r="I36" s="11">
        <v>193</v>
      </c>
      <c r="J36" s="19">
        <v>4235.7</v>
      </c>
      <c r="K36" s="19">
        <v>47.7</v>
      </c>
      <c r="L36" s="19">
        <f t="shared" si="6"/>
        <v>4283.3999999999996</v>
      </c>
      <c r="M36" s="19">
        <f>3325-1156.65</f>
        <v>2168.35</v>
      </c>
      <c r="N36" s="16">
        <v>550.6</v>
      </c>
      <c r="O36" s="46">
        <v>1445.8</v>
      </c>
      <c r="P36" s="122" t="s">
        <v>19</v>
      </c>
    </row>
    <row r="37" spans="1:16">
      <c r="A37" s="94">
        <v>6</v>
      </c>
      <c r="B37" s="11" t="s">
        <v>53</v>
      </c>
      <c r="C37" s="121">
        <v>1979</v>
      </c>
      <c r="D37" s="11" t="s">
        <v>22</v>
      </c>
      <c r="E37" s="11" t="s">
        <v>18</v>
      </c>
      <c r="F37" s="11">
        <v>5</v>
      </c>
      <c r="G37" s="11">
        <v>6</v>
      </c>
      <c r="H37" s="11">
        <v>94</v>
      </c>
      <c r="I37" s="11">
        <v>188</v>
      </c>
      <c r="J37" s="19">
        <v>4805.3999999999996</v>
      </c>
      <c r="K37" s="19">
        <v>479.6</v>
      </c>
      <c r="L37" s="19">
        <f t="shared" si="6"/>
        <v>5285</v>
      </c>
      <c r="M37" s="19">
        <f>3315-1354.53</f>
        <v>1960.47</v>
      </c>
      <c r="N37" s="16">
        <v>443.7</v>
      </c>
      <c r="O37" s="46">
        <v>1354.5</v>
      </c>
      <c r="P37" s="122" t="s">
        <v>19</v>
      </c>
    </row>
    <row r="38" spans="1:16">
      <c r="A38" s="94">
        <v>7</v>
      </c>
      <c r="B38" s="11" t="s">
        <v>54</v>
      </c>
      <c r="C38" s="121">
        <v>1991</v>
      </c>
      <c r="D38" s="11" t="s">
        <v>32</v>
      </c>
      <c r="E38" s="11" t="s">
        <v>18</v>
      </c>
      <c r="F38" s="11">
        <v>5</v>
      </c>
      <c r="G38" s="11">
        <v>5</v>
      </c>
      <c r="H38" s="11">
        <v>75</v>
      </c>
      <c r="I38" s="11">
        <v>229</v>
      </c>
      <c r="J38" s="19">
        <v>4302.1000000000004</v>
      </c>
      <c r="K38" s="19">
        <v>0</v>
      </c>
      <c r="L38" s="19">
        <f t="shared" si="6"/>
        <v>4302.1000000000004</v>
      </c>
      <c r="M38" s="19">
        <f>2626-1313.34</f>
        <v>1312.66</v>
      </c>
      <c r="N38" s="16">
        <v>472.4</v>
      </c>
      <c r="O38" s="46">
        <v>1313.3</v>
      </c>
      <c r="P38" s="122" t="s">
        <v>19</v>
      </c>
    </row>
    <row r="39" spans="1:16">
      <c r="A39" s="94">
        <v>8</v>
      </c>
      <c r="B39" s="11" t="s">
        <v>55</v>
      </c>
      <c r="C39" s="121">
        <v>1984</v>
      </c>
      <c r="D39" s="11" t="s">
        <v>17</v>
      </c>
      <c r="E39" s="11" t="s">
        <v>18</v>
      </c>
      <c r="F39" s="11">
        <v>5</v>
      </c>
      <c r="G39" s="11">
        <v>4</v>
      </c>
      <c r="H39" s="11">
        <v>55</v>
      </c>
      <c r="I39" s="11">
        <v>129</v>
      </c>
      <c r="J39" s="19">
        <v>2891.1</v>
      </c>
      <c r="K39" s="19">
        <f>184.8+43.8</f>
        <v>228.60000000000002</v>
      </c>
      <c r="L39" s="19">
        <f t="shared" si="6"/>
        <v>3119.7</v>
      </c>
      <c r="M39" s="19">
        <f>1676-845.77</f>
        <v>830.23</v>
      </c>
      <c r="N39" s="16">
        <v>334.8</v>
      </c>
      <c r="O39" s="46">
        <v>845.8</v>
      </c>
      <c r="P39" s="122" t="s">
        <v>19</v>
      </c>
    </row>
    <row r="40" spans="1:16">
      <c r="A40" s="94">
        <v>9</v>
      </c>
      <c r="B40" s="11" t="s">
        <v>56</v>
      </c>
      <c r="C40" s="121">
        <v>1993</v>
      </c>
      <c r="D40" s="11" t="s">
        <v>22</v>
      </c>
      <c r="E40" s="11" t="s">
        <v>18</v>
      </c>
      <c r="F40" s="11">
        <v>5</v>
      </c>
      <c r="G40" s="11">
        <v>4</v>
      </c>
      <c r="H40" s="11">
        <v>77</v>
      </c>
      <c r="I40" s="11">
        <v>193</v>
      </c>
      <c r="J40" s="19">
        <v>3699.7</v>
      </c>
      <c r="K40" s="19">
        <v>0</v>
      </c>
      <c r="L40" s="19">
        <f t="shared" si="6"/>
        <v>3699.7</v>
      </c>
      <c r="M40" s="19">
        <f>2915-1180.63</f>
        <v>1734.37</v>
      </c>
      <c r="N40" s="16">
        <v>536.1</v>
      </c>
      <c r="O40" s="46">
        <v>1180.5999999999999</v>
      </c>
      <c r="P40" s="122" t="s">
        <v>19</v>
      </c>
    </row>
    <row r="41" spans="1:16">
      <c r="A41" s="94">
        <v>10</v>
      </c>
      <c r="B41" s="11" t="s">
        <v>57</v>
      </c>
      <c r="C41" s="121">
        <v>1989</v>
      </c>
      <c r="D41" s="11" t="s">
        <v>22</v>
      </c>
      <c r="E41" s="11" t="s">
        <v>18</v>
      </c>
      <c r="F41" s="11">
        <v>5</v>
      </c>
      <c r="G41" s="11">
        <v>4</v>
      </c>
      <c r="H41" s="11">
        <v>56</v>
      </c>
      <c r="I41" s="11">
        <v>138</v>
      </c>
      <c r="J41" s="19">
        <v>3071.7</v>
      </c>
      <c r="K41" s="19">
        <v>102</v>
      </c>
      <c r="L41" s="19">
        <f t="shared" si="6"/>
        <v>3173.7</v>
      </c>
      <c r="M41" s="19">
        <f>1545-925.12</f>
        <v>619.88</v>
      </c>
      <c r="N41" s="16">
        <v>411.2</v>
      </c>
      <c r="O41" s="46">
        <v>925.1</v>
      </c>
      <c r="P41" s="122" t="s">
        <v>19</v>
      </c>
    </row>
    <row r="42" spans="1:16">
      <c r="A42" s="94">
        <v>11</v>
      </c>
      <c r="B42" s="11" t="s">
        <v>58</v>
      </c>
      <c r="C42" s="121">
        <v>1987</v>
      </c>
      <c r="D42" s="11" t="s">
        <v>22</v>
      </c>
      <c r="E42" s="11" t="s">
        <v>18</v>
      </c>
      <c r="F42" s="11">
        <v>5</v>
      </c>
      <c r="G42" s="11">
        <v>4</v>
      </c>
      <c r="H42" s="11">
        <v>55</v>
      </c>
      <c r="I42" s="11">
        <v>118</v>
      </c>
      <c r="J42" s="19">
        <v>2612</v>
      </c>
      <c r="K42" s="19">
        <v>0</v>
      </c>
      <c r="L42" s="19">
        <f t="shared" si="6"/>
        <v>2612</v>
      </c>
      <c r="M42" s="19">
        <f>2254-816.87</f>
        <v>1437.13</v>
      </c>
      <c r="N42" s="16">
        <v>352.8</v>
      </c>
      <c r="O42" s="46">
        <v>816.9</v>
      </c>
      <c r="P42" s="122" t="s">
        <v>19</v>
      </c>
    </row>
    <row r="43" spans="1:16">
      <c r="A43" s="94">
        <v>12</v>
      </c>
      <c r="B43" s="11" t="s">
        <v>59</v>
      </c>
      <c r="C43" s="121">
        <v>1987</v>
      </c>
      <c r="D43" s="11" t="s">
        <v>26</v>
      </c>
      <c r="E43" s="11" t="s">
        <v>18</v>
      </c>
      <c r="F43" s="11">
        <v>5</v>
      </c>
      <c r="G43" s="11">
        <v>6</v>
      </c>
      <c r="H43" s="11">
        <v>88</v>
      </c>
      <c r="I43" s="11">
        <v>210</v>
      </c>
      <c r="J43" s="19">
        <v>4527.8999999999996</v>
      </c>
      <c r="K43" s="19">
        <v>0</v>
      </c>
      <c r="L43" s="19">
        <f t="shared" si="6"/>
        <v>4527.8999999999996</v>
      </c>
      <c r="M43" s="19">
        <f>3116-1234</f>
        <v>1882</v>
      </c>
      <c r="N43" s="16">
        <v>413.3</v>
      </c>
      <c r="O43" s="46">
        <v>1234</v>
      </c>
      <c r="P43" s="122" t="s">
        <v>19</v>
      </c>
    </row>
    <row r="44" spans="1:16">
      <c r="A44" s="94">
        <v>13</v>
      </c>
      <c r="B44" s="11" t="s">
        <v>60</v>
      </c>
      <c r="C44" s="121">
        <v>1977</v>
      </c>
      <c r="D44" s="11" t="s">
        <v>22</v>
      </c>
      <c r="E44" s="11" t="s">
        <v>18</v>
      </c>
      <c r="F44" s="11">
        <v>5</v>
      </c>
      <c r="G44" s="11">
        <v>6</v>
      </c>
      <c r="H44" s="11">
        <v>89</v>
      </c>
      <c r="I44" s="11">
        <v>172</v>
      </c>
      <c r="J44" s="19">
        <v>4036.3</v>
      </c>
      <c r="K44" s="19">
        <v>0</v>
      </c>
      <c r="L44" s="19">
        <f t="shared" si="6"/>
        <v>4036.3</v>
      </c>
      <c r="M44" s="19">
        <f>1698-1085.55</f>
        <v>612.45000000000005</v>
      </c>
      <c r="N44" s="16">
        <v>412.8</v>
      </c>
      <c r="O44" s="46">
        <v>1085.5999999999999</v>
      </c>
      <c r="P44" s="122" t="s">
        <v>19</v>
      </c>
    </row>
    <row r="45" spans="1:16" ht="15.75" thickBot="1">
      <c r="A45" s="123">
        <v>14</v>
      </c>
      <c r="B45" s="21" t="s">
        <v>61</v>
      </c>
      <c r="C45" s="124">
        <v>1985</v>
      </c>
      <c r="D45" s="21" t="s">
        <v>22</v>
      </c>
      <c r="E45" s="21" t="s">
        <v>18</v>
      </c>
      <c r="F45" s="21">
        <v>5</v>
      </c>
      <c r="G45" s="21">
        <v>4</v>
      </c>
      <c r="H45" s="21">
        <v>56</v>
      </c>
      <c r="I45" s="21">
        <v>100</v>
      </c>
      <c r="J45" s="23">
        <v>2592.5</v>
      </c>
      <c r="K45" s="23">
        <v>0</v>
      </c>
      <c r="L45" s="23">
        <f t="shared" si="6"/>
        <v>2592.5</v>
      </c>
      <c r="M45" s="23">
        <f>1339-794.14</f>
        <v>544.86</v>
      </c>
      <c r="N45" s="25">
        <v>353.4</v>
      </c>
      <c r="O45" s="56">
        <v>794.1</v>
      </c>
      <c r="P45" s="125" t="s">
        <v>19</v>
      </c>
    </row>
    <row r="46" spans="1:16" ht="15.75" thickBot="1">
      <c r="A46" s="62">
        <v>14</v>
      </c>
      <c r="B46" s="63" t="s">
        <v>20</v>
      </c>
      <c r="C46" s="28"/>
      <c r="D46" s="28"/>
      <c r="E46" s="28"/>
      <c r="F46" s="28"/>
      <c r="G46" s="63">
        <f t="shared" ref="G46:O46" si="7">SUM(G32:G45)</f>
        <v>72</v>
      </c>
      <c r="H46" s="63">
        <f t="shared" si="7"/>
        <v>1065</v>
      </c>
      <c r="I46" s="63">
        <f t="shared" si="7"/>
        <v>2451</v>
      </c>
      <c r="J46" s="63">
        <f t="shared" si="7"/>
        <v>54413.499999999993</v>
      </c>
      <c r="K46" s="63">
        <f t="shared" si="7"/>
        <v>857.90000000000009</v>
      </c>
      <c r="L46" s="145">
        <f>SUM(L32:L45)</f>
        <v>55271.399999999994</v>
      </c>
      <c r="M46" s="63">
        <f t="shared" si="7"/>
        <v>17767.379999999997</v>
      </c>
      <c r="N46" s="63">
        <f t="shared" si="7"/>
        <v>6249.2</v>
      </c>
      <c r="O46" s="63">
        <f t="shared" si="7"/>
        <v>16016.800000000001</v>
      </c>
      <c r="P46" s="64"/>
    </row>
    <row r="47" spans="1:16" ht="15.75" thickBot="1">
      <c r="A47" s="62">
        <f>A22+A30+A46</f>
        <v>23</v>
      </c>
      <c r="B47" s="63" t="s">
        <v>62</v>
      </c>
      <c r="C47" s="28"/>
      <c r="D47" s="28"/>
      <c r="E47" s="28"/>
      <c r="F47" s="28"/>
      <c r="G47" s="63">
        <f t="shared" ref="G47:O47" si="8">G22+G30+G46</f>
        <v>131</v>
      </c>
      <c r="H47" s="63">
        <f t="shared" si="8"/>
        <v>1867</v>
      </c>
      <c r="I47" s="63">
        <f t="shared" si="8"/>
        <v>4189</v>
      </c>
      <c r="J47" s="63">
        <f t="shared" si="8"/>
        <v>94418.989999999991</v>
      </c>
      <c r="K47" s="63">
        <f t="shared" si="8"/>
        <v>1560.9</v>
      </c>
      <c r="L47" s="63">
        <f t="shared" si="8"/>
        <v>95979.889999999985</v>
      </c>
      <c r="M47" s="63">
        <f t="shared" si="8"/>
        <v>33740.929999999993</v>
      </c>
      <c r="N47" s="63">
        <f t="shared" si="8"/>
        <v>11165.3</v>
      </c>
      <c r="O47" s="63">
        <f t="shared" si="8"/>
        <v>29571.9</v>
      </c>
      <c r="P47" s="64"/>
    </row>
    <row r="48" spans="1:16" ht="28.35" customHeight="1" thickBot="1">
      <c r="A48" s="148" t="s">
        <v>264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</row>
    <row r="49" spans="1:16" ht="13.9" customHeight="1" thickTop="1" thickBot="1">
      <c r="A49" s="154" t="s">
        <v>63</v>
      </c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</row>
    <row r="50" spans="1:16" ht="13.9" customHeight="1" thickTop="1">
      <c r="A50" s="52">
        <v>1</v>
      </c>
      <c r="B50" s="52" t="s">
        <v>64</v>
      </c>
      <c r="C50" s="53">
        <v>1951</v>
      </c>
      <c r="D50" s="52" t="s">
        <v>65</v>
      </c>
      <c r="E50" s="52" t="s">
        <v>33</v>
      </c>
      <c r="F50" s="52">
        <v>2</v>
      </c>
      <c r="G50" s="85">
        <v>2</v>
      </c>
      <c r="H50" s="85">
        <v>13</v>
      </c>
      <c r="I50" s="85">
        <v>26</v>
      </c>
      <c r="J50" s="54">
        <v>672</v>
      </c>
      <c r="K50" s="54">
        <v>290</v>
      </c>
      <c r="L50" s="54">
        <f t="shared" ref="L50:L55" si="9">J50+K50</f>
        <v>962</v>
      </c>
      <c r="M50" s="55">
        <v>819</v>
      </c>
      <c r="N50" s="19">
        <v>62.6</v>
      </c>
      <c r="O50" s="46">
        <v>663.75</v>
      </c>
      <c r="P50" s="40" t="s">
        <v>34</v>
      </c>
    </row>
    <row r="51" spans="1:16" ht="13.9" customHeight="1">
      <c r="A51" s="11">
        <v>2</v>
      </c>
      <c r="B51" s="11" t="s">
        <v>66</v>
      </c>
      <c r="C51" s="121">
        <v>1949</v>
      </c>
      <c r="D51" s="11" t="s">
        <v>67</v>
      </c>
      <c r="E51" s="11" t="s">
        <v>33</v>
      </c>
      <c r="F51" s="11">
        <v>2</v>
      </c>
      <c r="G51" s="11">
        <v>1</v>
      </c>
      <c r="H51" s="11">
        <v>8</v>
      </c>
      <c r="I51" s="11">
        <v>20</v>
      </c>
      <c r="J51" s="19">
        <v>411</v>
      </c>
      <c r="K51" s="19">
        <v>0</v>
      </c>
      <c r="L51" s="19">
        <f t="shared" si="9"/>
        <v>411</v>
      </c>
      <c r="M51" s="19">
        <f>1197-327</f>
        <v>870</v>
      </c>
      <c r="N51" s="19">
        <v>42.1</v>
      </c>
      <c r="O51" s="46">
        <v>408.75</v>
      </c>
      <c r="P51" s="40" t="s">
        <v>34</v>
      </c>
    </row>
    <row r="52" spans="1:16" ht="13.9" customHeight="1">
      <c r="A52" s="11">
        <v>3</v>
      </c>
      <c r="B52" s="11" t="s">
        <v>68</v>
      </c>
      <c r="C52" s="121">
        <v>1951</v>
      </c>
      <c r="D52" s="11" t="s">
        <v>69</v>
      </c>
      <c r="E52" s="11" t="s">
        <v>33</v>
      </c>
      <c r="F52" s="11">
        <v>2</v>
      </c>
      <c r="G52" s="11">
        <v>1</v>
      </c>
      <c r="H52" s="11">
        <v>7</v>
      </c>
      <c r="I52" s="11">
        <v>12</v>
      </c>
      <c r="J52" s="19">
        <v>361.4</v>
      </c>
      <c r="K52" s="19">
        <v>60.9</v>
      </c>
      <c r="L52" s="19">
        <f t="shared" si="9"/>
        <v>422.29999999999995</v>
      </c>
      <c r="M52" s="19">
        <f>592-299</f>
        <v>293</v>
      </c>
      <c r="N52" s="19">
        <v>28</v>
      </c>
      <c r="O52" s="46">
        <v>373.75</v>
      </c>
      <c r="P52" s="40" t="s">
        <v>34</v>
      </c>
    </row>
    <row r="53" spans="1:16" ht="13.9" customHeight="1">
      <c r="A53" s="11">
        <v>4</v>
      </c>
      <c r="B53" s="11" t="s">
        <v>70</v>
      </c>
      <c r="C53" s="121">
        <v>1949</v>
      </c>
      <c r="D53" s="11" t="s">
        <v>65</v>
      </c>
      <c r="E53" s="11" t="s">
        <v>33</v>
      </c>
      <c r="F53" s="11">
        <v>2</v>
      </c>
      <c r="G53" s="141">
        <v>1</v>
      </c>
      <c r="H53" s="141">
        <v>8</v>
      </c>
      <c r="I53" s="141">
        <v>15</v>
      </c>
      <c r="J53" s="19">
        <v>435</v>
      </c>
      <c r="K53" s="19">
        <v>0</v>
      </c>
      <c r="L53" s="19">
        <f t="shared" si="9"/>
        <v>435</v>
      </c>
      <c r="M53" s="19">
        <v>418</v>
      </c>
      <c r="N53" s="19">
        <v>42.9</v>
      </c>
      <c r="O53" s="46">
        <v>0</v>
      </c>
      <c r="P53" s="40" t="s">
        <v>34</v>
      </c>
    </row>
    <row r="54" spans="1:16" ht="13.9" customHeight="1">
      <c r="A54" s="11">
        <v>5</v>
      </c>
      <c r="B54" s="11" t="s">
        <v>71</v>
      </c>
      <c r="C54" s="121">
        <v>1956</v>
      </c>
      <c r="D54" s="11" t="s">
        <v>67</v>
      </c>
      <c r="E54" s="11" t="s">
        <v>33</v>
      </c>
      <c r="F54" s="11">
        <v>2</v>
      </c>
      <c r="G54" s="11">
        <v>1</v>
      </c>
      <c r="H54" s="11">
        <v>3</v>
      </c>
      <c r="I54" s="11">
        <v>6</v>
      </c>
      <c r="J54" s="19">
        <v>179.7</v>
      </c>
      <c r="K54" s="19">
        <v>181.7</v>
      </c>
      <c r="L54" s="19">
        <f t="shared" si="9"/>
        <v>361.4</v>
      </c>
      <c r="M54" s="19">
        <v>393</v>
      </c>
      <c r="N54" s="19">
        <v>37.6</v>
      </c>
      <c r="O54" s="46">
        <v>0</v>
      </c>
      <c r="P54" s="40" t="s">
        <v>34</v>
      </c>
    </row>
    <row r="55" spans="1:16" ht="13.9" customHeight="1">
      <c r="A55" s="11">
        <v>6</v>
      </c>
      <c r="B55" s="11" t="s">
        <v>72</v>
      </c>
      <c r="C55" s="121">
        <v>1953</v>
      </c>
      <c r="D55" s="11" t="s">
        <v>73</v>
      </c>
      <c r="E55" s="11" t="s">
        <v>33</v>
      </c>
      <c r="F55" s="11">
        <v>2</v>
      </c>
      <c r="G55" s="11">
        <v>1</v>
      </c>
      <c r="H55" s="11">
        <v>8</v>
      </c>
      <c r="I55" s="11">
        <v>15</v>
      </c>
      <c r="J55" s="19">
        <v>541.70000000000005</v>
      </c>
      <c r="K55" s="19">
        <v>0</v>
      </c>
      <c r="L55" s="19">
        <f t="shared" si="9"/>
        <v>541.70000000000005</v>
      </c>
      <c r="M55" s="19">
        <f>869-332</f>
        <v>537</v>
      </c>
      <c r="N55" s="19">
        <v>52.1</v>
      </c>
      <c r="O55" s="46">
        <v>415</v>
      </c>
      <c r="P55" s="40" t="s">
        <v>34</v>
      </c>
    </row>
    <row r="56" spans="1:16" ht="13.9" customHeight="1">
      <c r="A56" s="11">
        <v>7</v>
      </c>
      <c r="B56" s="11" t="s">
        <v>74</v>
      </c>
      <c r="C56" s="121">
        <v>1952</v>
      </c>
      <c r="D56" s="11" t="s">
        <v>73</v>
      </c>
      <c r="E56" s="11" t="s">
        <v>33</v>
      </c>
      <c r="F56" s="11">
        <v>2</v>
      </c>
      <c r="G56" s="11">
        <v>1</v>
      </c>
      <c r="H56" s="11">
        <v>10</v>
      </c>
      <c r="I56" s="11">
        <v>23</v>
      </c>
      <c r="J56" s="19">
        <v>522.6</v>
      </c>
      <c r="K56" s="19">
        <v>0</v>
      </c>
      <c r="L56" s="19">
        <f>K56+J56</f>
        <v>522.6</v>
      </c>
      <c r="M56" s="19">
        <f>838-338</f>
        <v>500</v>
      </c>
      <c r="N56" s="19">
        <v>48.8</v>
      </c>
      <c r="O56" s="46">
        <v>422.5</v>
      </c>
      <c r="P56" s="40" t="s">
        <v>34</v>
      </c>
    </row>
    <row r="57" spans="1:16" ht="13.9" customHeight="1">
      <c r="A57" s="11">
        <v>8</v>
      </c>
      <c r="B57" s="11" t="s">
        <v>75</v>
      </c>
      <c r="C57" s="121">
        <v>1952</v>
      </c>
      <c r="D57" s="11" t="s">
        <v>73</v>
      </c>
      <c r="E57" s="11" t="s">
        <v>33</v>
      </c>
      <c r="F57" s="11">
        <v>2</v>
      </c>
      <c r="G57" s="141">
        <v>2</v>
      </c>
      <c r="H57" s="141">
        <v>12</v>
      </c>
      <c r="I57" s="141">
        <v>41</v>
      </c>
      <c r="J57" s="19">
        <v>872</v>
      </c>
      <c r="K57" s="19">
        <v>0</v>
      </c>
      <c r="L57" s="19">
        <f>J57+K57</f>
        <v>872</v>
      </c>
      <c r="M57" s="19">
        <v>682</v>
      </c>
      <c r="N57" s="19">
        <v>76.400000000000006</v>
      </c>
      <c r="O57" s="46">
        <v>688.75</v>
      </c>
      <c r="P57" s="40" t="s">
        <v>34</v>
      </c>
    </row>
    <row r="58" spans="1:16" ht="13.9" customHeight="1">
      <c r="A58" s="11">
        <v>9</v>
      </c>
      <c r="B58" s="11" t="s">
        <v>76</v>
      </c>
      <c r="C58" s="121">
        <v>1955</v>
      </c>
      <c r="D58" s="11" t="s">
        <v>73</v>
      </c>
      <c r="E58" s="11" t="s">
        <v>33</v>
      </c>
      <c r="F58" s="11">
        <v>2</v>
      </c>
      <c r="G58" s="141">
        <v>2</v>
      </c>
      <c r="H58" s="141">
        <v>12</v>
      </c>
      <c r="I58" s="141">
        <v>41</v>
      </c>
      <c r="J58" s="19">
        <v>920</v>
      </c>
      <c r="K58" s="19">
        <v>0</v>
      </c>
      <c r="L58" s="19">
        <f>J58+K58</f>
        <v>920</v>
      </c>
      <c r="M58" s="19">
        <v>396</v>
      </c>
      <c r="N58" s="19">
        <v>39.1</v>
      </c>
      <c r="O58" s="46">
        <v>690</v>
      </c>
      <c r="P58" s="40" t="s">
        <v>34</v>
      </c>
    </row>
    <row r="59" spans="1:16" ht="13.9" customHeight="1">
      <c r="A59" s="11">
        <v>10</v>
      </c>
      <c r="B59" s="11" t="s">
        <v>77</v>
      </c>
      <c r="C59" s="121">
        <v>1952</v>
      </c>
      <c r="D59" s="11" t="s">
        <v>73</v>
      </c>
      <c r="E59" s="11" t="s">
        <v>33</v>
      </c>
      <c r="F59" s="11">
        <v>2</v>
      </c>
      <c r="G59" s="11">
        <v>1</v>
      </c>
      <c r="H59" s="11">
        <v>8</v>
      </c>
      <c r="I59" s="11">
        <v>26</v>
      </c>
      <c r="J59" s="19">
        <v>535</v>
      </c>
      <c r="K59" s="19">
        <v>0</v>
      </c>
      <c r="L59" s="19">
        <f>K59+J59</f>
        <v>535</v>
      </c>
      <c r="M59" s="19">
        <f>910-329</f>
        <v>581</v>
      </c>
      <c r="N59" s="19">
        <v>48.7</v>
      </c>
      <c r="O59" s="46">
        <v>411.25</v>
      </c>
      <c r="P59" s="40" t="s">
        <v>34</v>
      </c>
    </row>
    <row r="60" spans="1:16" ht="13.9" customHeight="1">
      <c r="A60" s="11">
        <v>11</v>
      </c>
      <c r="B60" s="11" t="s">
        <v>78</v>
      </c>
      <c r="C60" s="121">
        <v>1956</v>
      </c>
      <c r="D60" s="11" t="s">
        <v>65</v>
      </c>
      <c r="E60" s="11" t="s">
        <v>33</v>
      </c>
      <c r="F60" s="11">
        <v>2</v>
      </c>
      <c r="G60" s="141">
        <v>1</v>
      </c>
      <c r="H60" s="141">
        <v>8</v>
      </c>
      <c r="I60" s="141">
        <v>20</v>
      </c>
      <c r="J60" s="19">
        <v>493</v>
      </c>
      <c r="K60" s="19">
        <v>0</v>
      </c>
      <c r="L60" s="19">
        <f>J60+K60</f>
        <v>493</v>
      </c>
      <c r="M60" s="19">
        <v>555</v>
      </c>
      <c r="N60" s="19">
        <v>42.6</v>
      </c>
      <c r="O60" s="46">
        <v>438.75</v>
      </c>
      <c r="P60" s="40" t="s">
        <v>34</v>
      </c>
    </row>
    <row r="61" spans="1:16" ht="13.9" customHeight="1">
      <c r="A61" s="11">
        <v>12</v>
      </c>
      <c r="B61" s="11" t="s">
        <v>79</v>
      </c>
      <c r="C61" s="121">
        <v>1952</v>
      </c>
      <c r="D61" s="11" t="s">
        <v>80</v>
      </c>
      <c r="E61" s="11" t="s">
        <v>33</v>
      </c>
      <c r="F61" s="11">
        <v>2</v>
      </c>
      <c r="G61" s="141">
        <v>1</v>
      </c>
      <c r="H61" s="141">
        <v>8</v>
      </c>
      <c r="I61" s="141">
        <v>28</v>
      </c>
      <c r="J61" s="19">
        <v>546</v>
      </c>
      <c r="K61" s="19">
        <v>0</v>
      </c>
      <c r="L61" s="19">
        <f>J61+K61</f>
        <v>546</v>
      </c>
      <c r="M61" s="19">
        <v>724</v>
      </c>
      <c r="N61" s="19">
        <v>48.1</v>
      </c>
      <c r="O61" s="46">
        <v>413.75</v>
      </c>
      <c r="P61" s="40" t="s">
        <v>34</v>
      </c>
    </row>
    <row r="62" spans="1:16" ht="13.9" customHeight="1">
      <c r="A62" s="11">
        <v>13</v>
      </c>
      <c r="B62" s="11" t="s">
        <v>81</v>
      </c>
      <c r="C62" s="121">
        <v>1955</v>
      </c>
      <c r="D62" s="11" t="s">
        <v>73</v>
      </c>
      <c r="E62" s="11" t="s">
        <v>33</v>
      </c>
      <c r="F62" s="11">
        <v>2</v>
      </c>
      <c r="G62" s="11">
        <v>2</v>
      </c>
      <c r="H62" s="11">
        <v>15</v>
      </c>
      <c r="I62" s="11">
        <v>42</v>
      </c>
      <c r="J62" s="19">
        <v>870.5</v>
      </c>
      <c r="K62" s="19">
        <v>0</v>
      </c>
      <c r="L62" s="19">
        <f>K62+J62</f>
        <v>870.5</v>
      </c>
      <c r="M62" s="19">
        <f>1324-555</f>
        <v>769</v>
      </c>
      <c r="N62" s="19">
        <v>38.700000000000003</v>
      </c>
      <c r="O62" s="46">
        <v>693.75</v>
      </c>
      <c r="P62" s="40" t="s">
        <v>34</v>
      </c>
    </row>
    <row r="63" spans="1:16" ht="13.9" customHeight="1">
      <c r="A63" s="11">
        <v>14</v>
      </c>
      <c r="B63" s="11" t="s">
        <v>82</v>
      </c>
      <c r="C63" s="121">
        <v>1952</v>
      </c>
      <c r="D63" s="11" t="s">
        <v>80</v>
      </c>
      <c r="E63" s="11" t="s">
        <v>33</v>
      </c>
      <c r="F63" s="11">
        <v>2</v>
      </c>
      <c r="G63" s="141">
        <v>2</v>
      </c>
      <c r="H63" s="141">
        <v>8</v>
      </c>
      <c r="I63" s="141">
        <v>37</v>
      </c>
      <c r="J63" s="19">
        <v>902.7</v>
      </c>
      <c r="K63" s="19">
        <v>0</v>
      </c>
      <c r="L63" s="19">
        <f>J63+K63</f>
        <v>902.7</v>
      </c>
      <c r="M63" s="19">
        <v>680</v>
      </c>
      <c r="N63" s="19">
        <v>76.099999999999994</v>
      </c>
      <c r="O63" s="46">
        <v>682.5</v>
      </c>
      <c r="P63" s="40" t="s">
        <v>34</v>
      </c>
    </row>
    <row r="64" spans="1:16" ht="13.9" customHeight="1">
      <c r="A64" s="11">
        <v>15</v>
      </c>
      <c r="B64" s="11" t="s">
        <v>83</v>
      </c>
      <c r="C64" s="121">
        <v>1953</v>
      </c>
      <c r="D64" s="11" t="s">
        <v>80</v>
      </c>
      <c r="E64" s="11" t="s">
        <v>33</v>
      </c>
      <c r="F64" s="142">
        <v>2</v>
      </c>
      <c r="G64" s="141">
        <v>1</v>
      </c>
      <c r="H64" s="141">
        <v>8</v>
      </c>
      <c r="I64" s="141">
        <v>24</v>
      </c>
      <c r="J64" s="19">
        <v>541</v>
      </c>
      <c r="K64" s="19">
        <v>0</v>
      </c>
      <c r="L64" s="19">
        <f>J64+K64</f>
        <v>541</v>
      </c>
      <c r="M64" s="19">
        <v>439</v>
      </c>
      <c r="N64" s="19">
        <v>48.1</v>
      </c>
      <c r="O64" s="46">
        <v>412.3</v>
      </c>
      <c r="P64" s="40" t="s">
        <v>34</v>
      </c>
    </row>
    <row r="65" spans="1:16" ht="13.9" customHeight="1">
      <c r="A65" s="11">
        <v>16</v>
      </c>
      <c r="B65" s="11" t="s">
        <v>84</v>
      </c>
      <c r="C65" s="121">
        <v>1953</v>
      </c>
      <c r="D65" s="11" t="s">
        <v>67</v>
      </c>
      <c r="E65" s="11" t="s">
        <v>33</v>
      </c>
      <c r="F65" s="11">
        <v>2</v>
      </c>
      <c r="G65" s="11">
        <v>2</v>
      </c>
      <c r="H65" s="11">
        <v>12</v>
      </c>
      <c r="I65" s="11">
        <v>23</v>
      </c>
      <c r="J65" s="19">
        <v>615</v>
      </c>
      <c r="K65" s="19">
        <v>0</v>
      </c>
      <c r="L65" s="19">
        <f>J65+K65</f>
        <v>615</v>
      </c>
      <c r="M65" s="19">
        <f>1161-464</f>
        <v>697</v>
      </c>
      <c r="N65" s="19">
        <v>57</v>
      </c>
      <c r="O65" s="46">
        <v>580</v>
      </c>
      <c r="P65" s="40" t="s">
        <v>34</v>
      </c>
    </row>
    <row r="66" spans="1:16" ht="13.9" customHeight="1">
      <c r="A66" s="11">
        <v>17</v>
      </c>
      <c r="B66" s="11" t="s">
        <v>85</v>
      </c>
      <c r="C66" s="121">
        <v>1953</v>
      </c>
      <c r="D66" s="11" t="s">
        <v>67</v>
      </c>
      <c r="E66" s="11" t="s">
        <v>33</v>
      </c>
      <c r="F66" s="11">
        <v>2</v>
      </c>
      <c r="G66" s="11">
        <v>2</v>
      </c>
      <c r="H66" s="11">
        <v>12</v>
      </c>
      <c r="I66" s="11">
        <v>35</v>
      </c>
      <c r="J66" s="19">
        <v>619</v>
      </c>
      <c r="K66" s="19">
        <v>0</v>
      </c>
      <c r="L66" s="19">
        <f>J66+K66</f>
        <v>619</v>
      </c>
      <c r="M66" s="19">
        <f>1160-460</f>
        <v>700</v>
      </c>
      <c r="N66" s="19">
        <v>54.7</v>
      </c>
      <c r="O66" s="46">
        <v>575</v>
      </c>
      <c r="P66" s="40" t="s">
        <v>34</v>
      </c>
    </row>
    <row r="67" spans="1:16" ht="13.9" customHeight="1">
      <c r="A67" s="11">
        <v>18</v>
      </c>
      <c r="B67" s="11" t="s">
        <v>86</v>
      </c>
      <c r="C67" s="121">
        <v>1958</v>
      </c>
      <c r="D67" s="11" t="s">
        <v>32</v>
      </c>
      <c r="E67" s="11" t="s">
        <v>33</v>
      </c>
      <c r="F67" s="11">
        <v>2</v>
      </c>
      <c r="G67" s="11">
        <v>1</v>
      </c>
      <c r="H67" s="11">
        <v>8</v>
      </c>
      <c r="I67" s="11">
        <v>22</v>
      </c>
      <c r="J67" s="19">
        <v>416.8</v>
      </c>
      <c r="K67" s="19">
        <v>0</v>
      </c>
      <c r="L67" s="19">
        <f>K67+J67</f>
        <v>416.8</v>
      </c>
      <c r="M67" s="19">
        <f>928-313</f>
        <v>615</v>
      </c>
      <c r="N67" s="19">
        <v>39.1</v>
      </c>
      <c r="O67" s="46">
        <v>391.25</v>
      </c>
      <c r="P67" s="40" t="s">
        <v>34</v>
      </c>
    </row>
    <row r="68" spans="1:16" ht="13.9" customHeight="1">
      <c r="A68" s="11">
        <v>19</v>
      </c>
      <c r="B68" s="11" t="s">
        <v>87</v>
      </c>
      <c r="C68" s="121">
        <v>1959</v>
      </c>
      <c r="D68" s="11" t="s">
        <v>32</v>
      </c>
      <c r="E68" s="11" t="s">
        <v>33</v>
      </c>
      <c r="F68" s="11">
        <v>3</v>
      </c>
      <c r="G68" s="11">
        <v>1</v>
      </c>
      <c r="H68" s="11">
        <v>12</v>
      </c>
      <c r="I68" s="11">
        <v>20</v>
      </c>
      <c r="J68" s="19">
        <v>615.5</v>
      </c>
      <c r="K68" s="19">
        <v>0</v>
      </c>
      <c r="L68" s="19">
        <f>K68+J68</f>
        <v>615.5</v>
      </c>
      <c r="M68" s="19">
        <f>899-309</f>
        <v>590</v>
      </c>
      <c r="N68" s="19">
        <v>60.4</v>
      </c>
      <c r="O68" s="46">
        <v>386.25</v>
      </c>
      <c r="P68" s="40" t="s">
        <v>34</v>
      </c>
    </row>
    <row r="69" spans="1:16" ht="13.9" customHeight="1">
      <c r="A69" s="11">
        <v>20</v>
      </c>
      <c r="B69" s="11" t="s">
        <v>88</v>
      </c>
      <c r="C69" s="121">
        <v>1957</v>
      </c>
      <c r="D69" s="11" t="s">
        <v>32</v>
      </c>
      <c r="E69" s="11" t="s">
        <v>33</v>
      </c>
      <c r="F69" s="11">
        <v>2</v>
      </c>
      <c r="G69" s="11">
        <v>1</v>
      </c>
      <c r="H69" s="11">
        <v>8</v>
      </c>
      <c r="I69" s="11">
        <v>14</v>
      </c>
      <c r="J69" s="19">
        <v>413</v>
      </c>
      <c r="K69" s="19">
        <v>0</v>
      </c>
      <c r="L69" s="19">
        <f>K69+J69</f>
        <v>413</v>
      </c>
      <c r="M69" s="19">
        <f>767-309</f>
        <v>458</v>
      </c>
      <c r="N69" s="19">
        <v>39.9</v>
      </c>
      <c r="O69" s="46">
        <v>386.25</v>
      </c>
      <c r="P69" s="40" t="s">
        <v>34</v>
      </c>
    </row>
    <row r="70" spans="1:16" ht="13.9" customHeight="1">
      <c r="A70" s="11">
        <v>21</v>
      </c>
      <c r="B70" s="11" t="s">
        <v>89</v>
      </c>
      <c r="C70" s="121">
        <v>1958</v>
      </c>
      <c r="D70" s="11" t="s">
        <v>32</v>
      </c>
      <c r="E70" s="11" t="s">
        <v>33</v>
      </c>
      <c r="F70" s="11">
        <v>2</v>
      </c>
      <c r="G70" s="11">
        <v>1</v>
      </c>
      <c r="H70" s="11">
        <v>8</v>
      </c>
      <c r="I70" s="11">
        <v>20</v>
      </c>
      <c r="J70" s="19">
        <v>415.6</v>
      </c>
      <c r="K70" s="19">
        <v>0</v>
      </c>
      <c r="L70" s="19">
        <f>K70+J70</f>
        <v>415.6</v>
      </c>
      <c r="M70" s="19">
        <f>861-305</f>
        <v>556</v>
      </c>
      <c r="N70" s="19">
        <v>39.799999999999997</v>
      </c>
      <c r="O70" s="46">
        <v>381.25</v>
      </c>
      <c r="P70" s="40" t="s">
        <v>34</v>
      </c>
    </row>
    <row r="71" spans="1:16" ht="13.9" customHeight="1">
      <c r="A71" s="11">
        <v>22</v>
      </c>
      <c r="B71" s="11" t="s">
        <v>90</v>
      </c>
      <c r="C71" s="121">
        <v>1958</v>
      </c>
      <c r="D71" s="11" t="s">
        <v>32</v>
      </c>
      <c r="E71" s="11" t="s">
        <v>33</v>
      </c>
      <c r="F71" s="11">
        <v>2</v>
      </c>
      <c r="G71" s="11">
        <v>1</v>
      </c>
      <c r="H71" s="11">
        <v>8</v>
      </c>
      <c r="I71" s="11">
        <v>16</v>
      </c>
      <c r="J71" s="19">
        <v>416.6</v>
      </c>
      <c r="K71" s="19">
        <v>0</v>
      </c>
      <c r="L71" s="19">
        <f>K71+J71</f>
        <v>416.6</v>
      </c>
      <c r="M71" s="19">
        <f>908-306</f>
        <v>602</v>
      </c>
      <c r="N71" s="19">
        <v>39.1</v>
      </c>
      <c r="O71" s="46">
        <v>382.5</v>
      </c>
      <c r="P71" s="40" t="s">
        <v>34</v>
      </c>
    </row>
    <row r="72" spans="1:16" ht="13.9" customHeight="1">
      <c r="A72" s="11">
        <v>23</v>
      </c>
      <c r="B72" s="11" t="s">
        <v>91</v>
      </c>
      <c r="C72" s="121">
        <v>1952</v>
      </c>
      <c r="D72" s="11" t="s">
        <v>67</v>
      </c>
      <c r="E72" s="11" t="s">
        <v>33</v>
      </c>
      <c r="F72" s="11">
        <v>2</v>
      </c>
      <c r="G72" s="11">
        <v>2</v>
      </c>
      <c r="H72" s="11">
        <v>12</v>
      </c>
      <c r="I72" s="11">
        <v>30</v>
      </c>
      <c r="J72" s="19">
        <v>637</v>
      </c>
      <c r="K72" s="19">
        <v>0</v>
      </c>
      <c r="L72" s="19">
        <f t="shared" ref="L72:L87" si="10">J72+K72</f>
        <v>637</v>
      </c>
      <c r="M72" s="19">
        <f>903-460</f>
        <v>443</v>
      </c>
      <c r="N72" s="19">
        <v>59.1</v>
      </c>
      <c r="O72" s="46">
        <v>575</v>
      </c>
      <c r="P72" s="40" t="s">
        <v>34</v>
      </c>
    </row>
    <row r="73" spans="1:16" ht="13.9" customHeight="1">
      <c r="A73" s="11">
        <v>24</v>
      </c>
      <c r="B73" s="11" t="s">
        <v>92</v>
      </c>
      <c r="C73" s="121">
        <v>1952</v>
      </c>
      <c r="D73" s="11" t="s">
        <v>65</v>
      </c>
      <c r="E73" s="11" t="s">
        <v>33</v>
      </c>
      <c r="F73" s="11">
        <v>2</v>
      </c>
      <c r="G73" s="141">
        <v>1</v>
      </c>
      <c r="H73" s="141">
        <v>8</v>
      </c>
      <c r="I73" s="141">
        <v>17</v>
      </c>
      <c r="J73" s="19">
        <v>447</v>
      </c>
      <c r="K73" s="19">
        <v>0</v>
      </c>
      <c r="L73" s="19">
        <f t="shared" si="10"/>
        <v>447</v>
      </c>
      <c r="M73" s="19">
        <v>677</v>
      </c>
      <c r="N73" s="19">
        <v>39.6</v>
      </c>
      <c r="O73" s="46">
        <v>393.75</v>
      </c>
      <c r="P73" s="40" t="s">
        <v>34</v>
      </c>
    </row>
    <row r="74" spans="1:16" ht="13.9" customHeight="1">
      <c r="A74" s="11">
        <v>25</v>
      </c>
      <c r="B74" s="11" t="s">
        <v>93</v>
      </c>
      <c r="C74" s="121">
        <v>1951</v>
      </c>
      <c r="D74" s="11" t="s">
        <v>67</v>
      </c>
      <c r="E74" s="11" t="s">
        <v>33</v>
      </c>
      <c r="F74" s="11">
        <v>2</v>
      </c>
      <c r="G74" s="11">
        <v>1</v>
      </c>
      <c r="H74" s="11">
        <v>8</v>
      </c>
      <c r="I74" s="11">
        <v>13</v>
      </c>
      <c r="J74" s="19">
        <v>409.7</v>
      </c>
      <c r="K74" s="19">
        <v>0</v>
      </c>
      <c r="L74" s="19">
        <f t="shared" si="10"/>
        <v>409.7</v>
      </c>
      <c r="M74" s="19">
        <f>908-312</f>
        <v>596</v>
      </c>
      <c r="N74" s="19">
        <v>38.799999999999997</v>
      </c>
      <c r="O74" s="46">
        <v>390</v>
      </c>
      <c r="P74" s="40" t="s">
        <v>34</v>
      </c>
    </row>
    <row r="75" spans="1:16" ht="13.9" customHeight="1">
      <c r="A75" s="11">
        <v>26</v>
      </c>
      <c r="B75" s="11" t="s">
        <v>94</v>
      </c>
      <c r="C75" s="121">
        <v>1953</v>
      </c>
      <c r="D75" s="11" t="s">
        <v>67</v>
      </c>
      <c r="E75" s="11" t="s">
        <v>33</v>
      </c>
      <c r="F75" s="11">
        <v>2</v>
      </c>
      <c r="G75" s="11">
        <v>1</v>
      </c>
      <c r="H75" s="11">
        <v>8</v>
      </c>
      <c r="I75" s="11">
        <v>15</v>
      </c>
      <c r="J75" s="19">
        <v>434.6</v>
      </c>
      <c r="K75" s="19">
        <v>0</v>
      </c>
      <c r="L75" s="19">
        <f t="shared" si="10"/>
        <v>434.6</v>
      </c>
      <c r="M75" s="19">
        <f>967-320</f>
        <v>647</v>
      </c>
      <c r="N75" s="19">
        <v>39.299999999999997</v>
      </c>
      <c r="O75" s="46">
        <v>400</v>
      </c>
      <c r="P75" s="40" t="s">
        <v>34</v>
      </c>
    </row>
    <row r="76" spans="1:16" ht="13.9" customHeight="1">
      <c r="A76" s="11">
        <v>27</v>
      </c>
      <c r="B76" s="11" t="s">
        <v>95</v>
      </c>
      <c r="C76" s="121">
        <v>1953</v>
      </c>
      <c r="D76" s="11" t="s">
        <v>67</v>
      </c>
      <c r="E76" s="11" t="s">
        <v>33</v>
      </c>
      <c r="F76" s="11">
        <v>2</v>
      </c>
      <c r="G76" s="11">
        <v>1</v>
      </c>
      <c r="H76" s="11">
        <v>8</v>
      </c>
      <c r="I76" s="11">
        <v>17</v>
      </c>
      <c r="J76" s="19">
        <v>431.9</v>
      </c>
      <c r="K76" s="19">
        <v>0</v>
      </c>
      <c r="L76" s="19">
        <f t="shared" si="10"/>
        <v>431.9</v>
      </c>
      <c r="M76" s="19">
        <f>948-320</f>
        <v>628</v>
      </c>
      <c r="N76" s="19">
        <v>39.299999999999997</v>
      </c>
      <c r="O76" s="46">
        <v>400</v>
      </c>
      <c r="P76" s="40" t="s">
        <v>34</v>
      </c>
    </row>
    <row r="77" spans="1:16" ht="13.9" customHeight="1">
      <c r="A77" s="11">
        <v>28</v>
      </c>
      <c r="B77" s="11" t="s">
        <v>96</v>
      </c>
      <c r="C77" s="121">
        <v>1954</v>
      </c>
      <c r="D77" s="11" t="s">
        <v>67</v>
      </c>
      <c r="E77" s="11" t="s">
        <v>33</v>
      </c>
      <c r="F77" s="11">
        <v>2</v>
      </c>
      <c r="G77" s="11">
        <v>1</v>
      </c>
      <c r="H77" s="11">
        <v>8</v>
      </c>
      <c r="I77" s="11">
        <v>19</v>
      </c>
      <c r="J77" s="19">
        <v>436.6</v>
      </c>
      <c r="K77" s="19">
        <v>0</v>
      </c>
      <c r="L77" s="19">
        <f t="shared" si="10"/>
        <v>436.6</v>
      </c>
      <c r="M77" s="19">
        <f>986-316</f>
        <v>670</v>
      </c>
      <c r="N77" s="19">
        <v>39</v>
      </c>
      <c r="O77" s="46">
        <v>395</v>
      </c>
      <c r="P77" s="40" t="s">
        <v>34</v>
      </c>
    </row>
    <row r="78" spans="1:16" ht="13.9" customHeight="1">
      <c r="A78" s="11">
        <v>29</v>
      </c>
      <c r="B78" s="11" t="s">
        <v>97</v>
      </c>
      <c r="C78" s="121">
        <v>1951</v>
      </c>
      <c r="D78" s="11" t="s">
        <v>73</v>
      </c>
      <c r="E78" s="11" t="s">
        <v>33</v>
      </c>
      <c r="F78" s="11">
        <v>2</v>
      </c>
      <c r="G78" s="141">
        <v>1</v>
      </c>
      <c r="H78" s="141">
        <v>8</v>
      </c>
      <c r="I78" s="141">
        <v>23</v>
      </c>
      <c r="J78" s="19">
        <v>521</v>
      </c>
      <c r="K78" s="19">
        <v>0</v>
      </c>
      <c r="L78" s="19">
        <f t="shared" si="10"/>
        <v>521</v>
      </c>
      <c r="M78" s="19">
        <v>426</v>
      </c>
      <c r="N78" s="19">
        <v>45.2</v>
      </c>
      <c r="O78" s="46">
        <v>415</v>
      </c>
      <c r="P78" s="40" t="s">
        <v>34</v>
      </c>
    </row>
    <row r="79" spans="1:16" ht="13.9" customHeight="1">
      <c r="A79" s="11">
        <v>30</v>
      </c>
      <c r="B79" s="11" t="s">
        <v>98</v>
      </c>
      <c r="C79" s="121">
        <v>1952</v>
      </c>
      <c r="D79" s="11" t="s">
        <v>80</v>
      </c>
      <c r="E79" s="11" t="s">
        <v>33</v>
      </c>
      <c r="F79" s="11">
        <v>2</v>
      </c>
      <c r="G79" s="141">
        <v>2</v>
      </c>
      <c r="H79" s="141">
        <v>12</v>
      </c>
      <c r="I79" s="141">
        <v>28</v>
      </c>
      <c r="J79" s="19">
        <v>924</v>
      </c>
      <c r="K79" s="19">
        <v>0</v>
      </c>
      <c r="L79" s="19">
        <f t="shared" si="10"/>
        <v>924</v>
      </c>
      <c r="M79" s="19">
        <v>531</v>
      </c>
      <c r="N79" s="19">
        <v>75.8</v>
      </c>
      <c r="O79" s="46">
        <v>681.25</v>
      </c>
      <c r="P79" s="40" t="s">
        <v>34</v>
      </c>
    </row>
    <row r="80" spans="1:16" ht="13.9" customHeight="1">
      <c r="A80" s="11">
        <v>31</v>
      </c>
      <c r="B80" s="11" t="s">
        <v>99</v>
      </c>
      <c r="C80" s="121">
        <v>1952</v>
      </c>
      <c r="D80" s="11" t="s">
        <v>80</v>
      </c>
      <c r="E80" s="11" t="s">
        <v>33</v>
      </c>
      <c r="F80" s="11">
        <v>2</v>
      </c>
      <c r="G80" s="141">
        <v>1</v>
      </c>
      <c r="H80" s="141">
        <v>8</v>
      </c>
      <c r="I80" s="141">
        <v>17</v>
      </c>
      <c r="J80" s="19">
        <v>542.4</v>
      </c>
      <c r="K80" s="19">
        <v>0</v>
      </c>
      <c r="L80" s="19">
        <f t="shared" si="10"/>
        <v>542.4</v>
      </c>
      <c r="M80" s="19">
        <v>696</v>
      </c>
      <c r="N80" s="19">
        <v>48.7</v>
      </c>
      <c r="O80" s="46">
        <v>410</v>
      </c>
      <c r="P80" s="40" t="s">
        <v>34</v>
      </c>
    </row>
    <row r="81" spans="1:16" ht="13.9" customHeight="1">
      <c r="A81" s="11">
        <v>32</v>
      </c>
      <c r="B81" s="11" t="s">
        <v>100</v>
      </c>
      <c r="C81" s="121">
        <v>1952</v>
      </c>
      <c r="D81" s="11" t="s">
        <v>73</v>
      </c>
      <c r="E81" s="11" t="s">
        <v>33</v>
      </c>
      <c r="F81" s="142">
        <v>2</v>
      </c>
      <c r="G81" s="141">
        <v>1</v>
      </c>
      <c r="H81" s="141">
        <v>8</v>
      </c>
      <c r="I81" s="141">
        <v>27</v>
      </c>
      <c r="J81" s="19">
        <v>515</v>
      </c>
      <c r="K81" s="19">
        <v>0</v>
      </c>
      <c r="L81" s="19">
        <f t="shared" si="10"/>
        <v>515</v>
      </c>
      <c r="M81" s="19">
        <v>655</v>
      </c>
      <c r="N81" s="19">
        <v>48.7</v>
      </c>
      <c r="O81" s="46">
        <v>411.3</v>
      </c>
      <c r="P81" s="40" t="s">
        <v>34</v>
      </c>
    </row>
    <row r="82" spans="1:16" ht="13.9" customHeight="1">
      <c r="A82" s="11">
        <v>33</v>
      </c>
      <c r="B82" s="11" t="s">
        <v>101</v>
      </c>
      <c r="C82" s="121">
        <v>1951</v>
      </c>
      <c r="D82" s="11" t="s">
        <v>67</v>
      </c>
      <c r="E82" s="11" t="s">
        <v>33</v>
      </c>
      <c r="F82" s="11">
        <v>2</v>
      </c>
      <c r="G82" s="11">
        <v>2</v>
      </c>
      <c r="H82" s="11">
        <v>12</v>
      </c>
      <c r="I82" s="11">
        <v>21</v>
      </c>
      <c r="J82" s="19">
        <v>609.5</v>
      </c>
      <c r="K82" s="19">
        <v>0</v>
      </c>
      <c r="L82" s="19">
        <f t="shared" si="10"/>
        <v>609.5</v>
      </c>
      <c r="M82" s="19">
        <f>1249-494</f>
        <v>755</v>
      </c>
      <c r="N82" s="19">
        <v>103.2</v>
      </c>
      <c r="O82" s="46">
        <v>617.5</v>
      </c>
      <c r="P82" s="40" t="s">
        <v>34</v>
      </c>
    </row>
    <row r="83" spans="1:16" ht="13.9" customHeight="1">
      <c r="A83" s="11">
        <v>34</v>
      </c>
      <c r="B83" s="11" t="s">
        <v>102</v>
      </c>
      <c r="C83" s="121">
        <v>1952</v>
      </c>
      <c r="D83" s="11" t="s">
        <v>65</v>
      </c>
      <c r="E83" s="11" t="s">
        <v>33</v>
      </c>
      <c r="F83" s="11">
        <v>2</v>
      </c>
      <c r="G83" s="141">
        <v>1</v>
      </c>
      <c r="H83" s="141">
        <v>8</v>
      </c>
      <c r="I83" s="141">
        <v>11</v>
      </c>
      <c r="J83" s="19">
        <v>425</v>
      </c>
      <c r="K83" s="19">
        <v>0</v>
      </c>
      <c r="L83" s="19">
        <f t="shared" si="10"/>
        <v>425</v>
      </c>
      <c r="M83" s="19">
        <v>624</v>
      </c>
      <c r="N83" s="19">
        <v>42.9</v>
      </c>
      <c r="O83" s="46">
        <v>405</v>
      </c>
      <c r="P83" s="40" t="s">
        <v>34</v>
      </c>
    </row>
    <row r="84" spans="1:16" ht="13.9" customHeight="1">
      <c r="A84" s="11">
        <v>35</v>
      </c>
      <c r="B84" s="11" t="s">
        <v>103</v>
      </c>
      <c r="C84" s="121">
        <v>1952</v>
      </c>
      <c r="D84" s="11" t="s">
        <v>67</v>
      </c>
      <c r="E84" s="11" t="s">
        <v>33</v>
      </c>
      <c r="F84" s="11">
        <v>2</v>
      </c>
      <c r="G84" s="11">
        <v>3</v>
      </c>
      <c r="H84" s="11">
        <v>14</v>
      </c>
      <c r="I84" s="11">
        <v>29</v>
      </c>
      <c r="J84" s="19">
        <v>819.1</v>
      </c>
      <c r="K84" s="19">
        <v>155</v>
      </c>
      <c r="L84" s="19">
        <f t="shared" si="10"/>
        <v>974.1</v>
      </c>
      <c r="M84" s="19">
        <f>1747-758</f>
        <v>989</v>
      </c>
      <c r="N84" s="19">
        <v>103.5</v>
      </c>
      <c r="O84" s="46">
        <v>947.5</v>
      </c>
      <c r="P84" s="40" t="s">
        <v>34</v>
      </c>
    </row>
    <row r="85" spans="1:16" ht="13.9" customHeight="1">
      <c r="A85" s="11">
        <v>36</v>
      </c>
      <c r="B85" s="11" t="s">
        <v>104</v>
      </c>
      <c r="C85" s="121">
        <v>1950</v>
      </c>
      <c r="D85" s="11" t="s">
        <v>67</v>
      </c>
      <c r="E85" s="11" t="s">
        <v>33</v>
      </c>
      <c r="F85" s="11">
        <v>2</v>
      </c>
      <c r="G85" s="11">
        <v>3</v>
      </c>
      <c r="H85" s="11">
        <v>18</v>
      </c>
      <c r="I85" s="11">
        <v>33</v>
      </c>
      <c r="J85" s="19">
        <v>1068.2</v>
      </c>
      <c r="K85" s="19">
        <v>0</v>
      </c>
      <c r="L85" s="19">
        <f t="shared" si="10"/>
        <v>1068.2</v>
      </c>
      <c r="M85" s="19">
        <f>1608-780</f>
        <v>828</v>
      </c>
      <c r="N85" s="19">
        <v>103.2</v>
      </c>
      <c r="O85" s="46">
        <v>975</v>
      </c>
      <c r="P85" s="40" t="s">
        <v>34</v>
      </c>
    </row>
    <row r="86" spans="1:16" ht="13.9" customHeight="1">
      <c r="A86" s="11">
        <v>37</v>
      </c>
      <c r="B86" s="11" t="s">
        <v>105</v>
      </c>
      <c r="C86" s="121">
        <v>1953</v>
      </c>
      <c r="D86" s="11" t="s">
        <v>73</v>
      </c>
      <c r="E86" s="11" t="s">
        <v>33</v>
      </c>
      <c r="F86" s="11">
        <v>2</v>
      </c>
      <c r="G86" s="141">
        <v>1</v>
      </c>
      <c r="H86" s="141">
        <v>8</v>
      </c>
      <c r="I86" s="141">
        <v>18</v>
      </c>
      <c r="J86" s="19">
        <v>519</v>
      </c>
      <c r="K86" s="19">
        <v>0</v>
      </c>
      <c r="L86" s="19">
        <f t="shared" si="10"/>
        <v>519</v>
      </c>
      <c r="M86" s="19">
        <v>569</v>
      </c>
      <c r="N86" s="19">
        <v>23.5</v>
      </c>
      <c r="O86" s="46">
        <v>418.8</v>
      </c>
      <c r="P86" s="40" t="s">
        <v>34</v>
      </c>
    </row>
    <row r="87" spans="1:16" ht="13.9" customHeight="1" thickBot="1">
      <c r="A87" s="36">
        <v>38</v>
      </c>
      <c r="B87" s="36" t="s">
        <v>106</v>
      </c>
      <c r="C87" s="60">
        <v>1950</v>
      </c>
      <c r="D87" s="36" t="s">
        <v>73</v>
      </c>
      <c r="E87" s="36" t="s">
        <v>33</v>
      </c>
      <c r="F87" s="36">
        <v>2</v>
      </c>
      <c r="G87" s="37">
        <v>1</v>
      </c>
      <c r="H87" s="37">
        <v>8</v>
      </c>
      <c r="I87" s="37">
        <v>20</v>
      </c>
      <c r="J87" s="38">
        <v>512</v>
      </c>
      <c r="K87" s="38">
        <v>0</v>
      </c>
      <c r="L87" s="38">
        <f t="shared" si="10"/>
        <v>512</v>
      </c>
      <c r="M87" s="39">
        <v>618</v>
      </c>
      <c r="N87" s="19">
        <v>49.3</v>
      </c>
      <c r="O87" s="46">
        <v>418.8</v>
      </c>
      <c r="P87" s="40" t="s">
        <v>34</v>
      </c>
    </row>
    <row r="88" spans="1:16" ht="13.9" customHeight="1" thickTop="1" thickBot="1">
      <c r="A88" s="65">
        <v>38</v>
      </c>
      <c r="B88" s="66" t="s">
        <v>20</v>
      </c>
      <c r="C88" s="66"/>
      <c r="D88" s="66"/>
      <c r="E88" s="66"/>
      <c r="F88" s="66"/>
      <c r="G88" s="65">
        <f t="shared" ref="G88:O88" si="11">SUM(G50:G87)</f>
        <v>52</v>
      </c>
      <c r="H88" s="65">
        <f t="shared" si="11"/>
        <v>360</v>
      </c>
      <c r="I88" s="65">
        <f t="shared" si="11"/>
        <v>864</v>
      </c>
      <c r="J88" s="65">
        <f t="shared" si="11"/>
        <v>21567.100000000002</v>
      </c>
      <c r="K88" s="65">
        <f t="shared" si="11"/>
        <v>687.59999999999991</v>
      </c>
      <c r="L88" s="65">
        <f t="shared" si="11"/>
        <v>22254.7</v>
      </c>
      <c r="M88" s="65">
        <f t="shared" si="11"/>
        <v>23226</v>
      </c>
      <c r="N88" s="65">
        <f t="shared" si="11"/>
        <v>1961</v>
      </c>
      <c r="O88" s="65">
        <f t="shared" si="11"/>
        <v>18051.199999999997</v>
      </c>
      <c r="P88" s="66"/>
    </row>
    <row r="89" spans="1:16" ht="13.9" customHeight="1" thickTop="1" thickBot="1">
      <c r="A89" s="154" t="s">
        <v>107</v>
      </c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</row>
    <row r="90" spans="1:16" ht="15.75" thickTop="1">
      <c r="A90" s="126">
        <v>1</v>
      </c>
      <c r="B90" s="126" t="s">
        <v>108</v>
      </c>
      <c r="C90" s="138">
        <v>1967</v>
      </c>
      <c r="D90" s="126" t="s">
        <v>22</v>
      </c>
      <c r="E90" s="126" t="s">
        <v>33</v>
      </c>
      <c r="F90" s="126">
        <v>5</v>
      </c>
      <c r="G90" s="126">
        <v>4</v>
      </c>
      <c r="H90" s="126">
        <v>64</v>
      </c>
      <c r="I90" s="126">
        <v>83</v>
      </c>
      <c r="J90" s="128">
        <v>2618.5</v>
      </c>
      <c r="K90" s="128">
        <v>984.2</v>
      </c>
      <c r="L90" s="128">
        <f t="shared" ref="L90:L105" si="12">J90+K90</f>
        <v>3602.7</v>
      </c>
      <c r="M90" s="129">
        <f>1807-969</f>
        <v>838</v>
      </c>
      <c r="N90" s="8">
        <v>252.3</v>
      </c>
      <c r="O90" s="61">
        <v>1211.25</v>
      </c>
      <c r="P90" s="67" t="s">
        <v>19</v>
      </c>
    </row>
    <row r="91" spans="1:16">
      <c r="A91" s="11">
        <v>2</v>
      </c>
      <c r="B91" s="11" t="s">
        <v>109</v>
      </c>
      <c r="C91" s="121">
        <v>1967</v>
      </c>
      <c r="D91" s="11" t="s">
        <v>22</v>
      </c>
      <c r="E91" s="11" t="s">
        <v>33</v>
      </c>
      <c r="F91" s="11">
        <v>5</v>
      </c>
      <c r="G91" s="11">
        <v>4</v>
      </c>
      <c r="H91" s="11">
        <v>64</v>
      </c>
      <c r="I91" s="11">
        <v>102</v>
      </c>
      <c r="J91" s="19">
        <v>2604</v>
      </c>
      <c r="K91" s="19">
        <v>566.70000000000005</v>
      </c>
      <c r="L91" s="19">
        <f t="shared" si="12"/>
        <v>3170.7</v>
      </c>
      <c r="M91" s="19">
        <f>2002-916</f>
        <v>1086</v>
      </c>
      <c r="N91" s="16">
        <v>252</v>
      </c>
      <c r="O91" s="46">
        <v>1145</v>
      </c>
      <c r="P91" s="40" t="s">
        <v>19</v>
      </c>
    </row>
    <row r="92" spans="1:16">
      <c r="A92" s="11">
        <v>3</v>
      </c>
      <c r="B92" s="11" t="s">
        <v>110</v>
      </c>
      <c r="C92" s="121">
        <v>1967</v>
      </c>
      <c r="D92" s="11" t="s">
        <v>22</v>
      </c>
      <c r="E92" s="11" t="s">
        <v>33</v>
      </c>
      <c r="F92" s="11">
        <v>5</v>
      </c>
      <c r="G92" s="11">
        <v>8</v>
      </c>
      <c r="H92" s="11">
        <v>128</v>
      </c>
      <c r="I92" s="11">
        <v>226</v>
      </c>
      <c r="J92" s="19">
        <v>5152.2</v>
      </c>
      <c r="K92" s="19">
        <v>2867.2</v>
      </c>
      <c r="L92" s="19">
        <f t="shared" si="12"/>
        <v>8019.4</v>
      </c>
      <c r="M92" s="19">
        <f>4321-1983</f>
        <v>2338</v>
      </c>
      <c r="N92" s="16">
        <v>499.2</v>
      </c>
      <c r="O92" s="46">
        <v>2479.85</v>
      </c>
      <c r="P92" s="40" t="s">
        <v>19</v>
      </c>
    </row>
    <row r="93" spans="1:16">
      <c r="A93" s="11">
        <v>4</v>
      </c>
      <c r="B93" s="11" t="s">
        <v>111</v>
      </c>
      <c r="C93" s="121">
        <v>1966</v>
      </c>
      <c r="D93" s="11" t="s">
        <v>22</v>
      </c>
      <c r="E93" s="11" t="s">
        <v>33</v>
      </c>
      <c r="F93" s="11">
        <v>5</v>
      </c>
      <c r="G93" s="11">
        <v>8</v>
      </c>
      <c r="H93" s="11">
        <v>131</v>
      </c>
      <c r="I93" s="11">
        <v>258</v>
      </c>
      <c r="J93" s="19">
        <v>5940.8</v>
      </c>
      <c r="K93" s="19">
        <f>612.8+58.3</f>
        <v>671.09999999999991</v>
      </c>
      <c r="L93" s="19">
        <f t="shared" si="12"/>
        <v>6611.9</v>
      </c>
      <c r="M93" s="19">
        <f>1400-730.38</f>
        <v>669.62</v>
      </c>
      <c r="N93" s="16">
        <v>539.6</v>
      </c>
      <c r="O93" s="46">
        <v>912.97500000000002</v>
      </c>
      <c r="P93" s="40" t="s">
        <v>19</v>
      </c>
    </row>
    <row r="94" spans="1:16">
      <c r="A94" s="105">
        <v>5</v>
      </c>
      <c r="B94" s="105" t="s">
        <v>112</v>
      </c>
      <c r="C94" s="139">
        <v>1956</v>
      </c>
      <c r="D94" s="105" t="s">
        <v>65</v>
      </c>
      <c r="E94" s="105" t="s">
        <v>33</v>
      </c>
      <c r="F94" s="105">
        <v>5</v>
      </c>
      <c r="G94" s="105">
        <v>3</v>
      </c>
      <c r="H94" s="105">
        <v>51</v>
      </c>
      <c r="I94" s="105">
        <v>93</v>
      </c>
      <c r="J94" s="16">
        <v>2957.8</v>
      </c>
      <c r="K94" s="16">
        <v>671.2</v>
      </c>
      <c r="L94" s="16">
        <f t="shared" si="12"/>
        <v>3629</v>
      </c>
      <c r="M94" s="16">
        <f>1740-974.14</f>
        <v>765.86</v>
      </c>
      <c r="N94" s="16">
        <v>301.10000000000002</v>
      </c>
      <c r="O94" s="68">
        <v>1217.675</v>
      </c>
      <c r="P94" s="69" t="s">
        <v>19</v>
      </c>
    </row>
    <row r="95" spans="1:16">
      <c r="A95" s="105">
        <v>6</v>
      </c>
      <c r="B95" s="105" t="s">
        <v>113</v>
      </c>
      <c r="C95" s="139">
        <v>1959</v>
      </c>
      <c r="D95" s="105" t="s">
        <v>42</v>
      </c>
      <c r="E95" s="105" t="s">
        <v>33</v>
      </c>
      <c r="F95" s="105">
        <v>5</v>
      </c>
      <c r="G95" s="105">
        <v>2</v>
      </c>
      <c r="H95" s="105">
        <v>40</v>
      </c>
      <c r="I95" s="105">
        <v>55</v>
      </c>
      <c r="J95" s="16">
        <v>1628.2</v>
      </c>
      <c r="K95" s="16">
        <v>0</v>
      </c>
      <c r="L95" s="16">
        <f t="shared" si="12"/>
        <v>1628.2</v>
      </c>
      <c r="M95" s="16">
        <f>1064-438.97</f>
        <v>625.03</v>
      </c>
      <c r="N95" s="16">
        <v>124.7</v>
      </c>
      <c r="O95" s="68">
        <v>548.71249999999998</v>
      </c>
      <c r="P95" s="69" t="s">
        <v>19</v>
      </c>
    </row>
    <row r="96" spans="1:16">
      <c r="A96" s="105">
        <v>7</v>
      </c>
      <c r="B96" s="105" t="s">
        <v>114</v>
      </c>
      <c r="C96" s="139">
        <v>1959</v>
      </c>
      <c r="D96" s="105" t="s">
        <v>42</v>
      </c>
      <c r="E96" s="105" t="s">
        <v>33</v>
      </c>
      <c r="F96" s="105">
        <v>5</v>
      </c>
      <c r="G96" s="105">
        <v>2</v>
      </c>
      <c r="H96" s="105">
        <v>40</v>
      </c>
      <c r="I96" s="105">
        <v>75</v>
      </c>
      <c r="J96" s="16">
        <v>1646.3</v>
      </c>
      <c r="K96" s="16">
        <v>0</v>
      </c>
      <c r="L96" s="16">
        <f t="shared" si="12"/>
        <v>1646.3</v>
      </c>
      <c r="M96" s="16">
        <f>1414-438.38</f>
        <v>975.62</v>
      </c>
      <c r="N96" s="16">
        <v>124.2</v>
      </c>
      <c r="O96" s="68">
        <v>547.97500000000002</v>
      </c>
      <c r="P96" s="69" t="s">
        <v>19</v>
      </c>
    </row>
    <row r="97" spans="1:16">
      <c r="A97" s="105">
        <v>8</v>
      </c>
      <c r="B97" s="105" t="s">
        <v>115</v>
      </c>
      <c r="C97" s="139">
        <v>1959</v>
      </c>
      <c r="D97" s="105" t="s">
        <v>42</v>
      </c>
      <c r="E97" s="105" t="s">
        <v>33</v>
      </c>
      <c r="F97" s="105">
        <v>5</v>
      </c>
      <c r="G97" s="105">
        <v>2</v>
      </c>
      <c r="H97" s="105">
        <v>40</v>
      </c>
      <c r="I97" s="105">
        <v>69</v>
      </c>
      <c r="J97" s="16">
        <v>1627.2</v>
      </c>
      <c r="K97" s="16">
        <v>0</v>
      </c>
      <c r="L97" s="16">
        <f t="shared" si="12"/>
        <v>1627.2</v>
      </c>
      <c r="M97" s="16">
        <f>1295-438.31</f>
        <v>856.69</v>
      </c>
      <c r="N97" s="16">
        <v>124.6</v>
      </c>
      <c r="O97" s="68">
        <v>547.88750000000005</v>
      </c>
      <c r="P97" s="69" t="s">
        <v>19</v>
      </c>
    </row>
    <row r="98" spans="1:16">
      <c r="A98" s="105">
        <v>9</v>
      </c>
      <c r="B98" s="105" t="s">
        <v>116</v>
      </c>
      <c r="C98" s="139">
        <v>1957</v>
      </c>
      <c r="D98" s="105" t="s">
        <v>42</v>
      </c>
      <c r="E98" s="105" t="s">
        <v>33</v>
      </c>
      <c r="F98" s="105">
        <v>5</v>
      </c>
      <c r="G98" s="105">
        <v>4</v>
      </c>
      <c r="H98" s="105">
        <v>60</v>
      </c>
      <c r="I98" s="105">
        <v>141</v>
      </c>
      <c r="J98" s="16">
        <v>4191.3999999999996</v>
      </c>
      <c r="K98" s="16">
        <v>233</v>
      </c>
      <c r="L98" s="16">
        <f t="shared" si="12"/>
        <v>4424.3999999999996</v>
      </c>
      <c r="M98" s="16">
        <f>2097-1238.71</f>
        <v>858.29</v>
      </c>
      <c r="N98" s="16">
        <v>441.6</v>
      </c>
      <c r="O98" s="68">
        <v>1548.3875</v>
      </c>
      <c r="P98" s="69" t="s">
        <v>19</v>
      </c>
    </row>
    <row r="99" spans="1:16">
      <c r="A99" s="105">
        <v>10</v>
      </c>
      <c r="B99" s="105" t="s">
        <v>117</v>
      </c>
      <c r="C99" s="139">
        <v>1958</v>
      </c>
      <c r="D99" s="105" t="s">
        <v>42</v>
      </c>
      <c r="E99" s="105" t="s">
        <v>33</v>
      </c>
      <c r="F99" s="105">
        <v>5</v>
      </c>
      <c r="G99" s="105">
        <v>4</v>
      </c>
      <c r="H99" s="105">
        <v>60</v>
      </c>
      <c r="I99" s="105">
        <v>86</v>
      </c>
      <c r="J99" s="16">
        <v>2522.6</v>
      </c>
      <c r="K99" s="16">
        <v>225.6</v>
      </c>
      <c r="L99" s="16">
        <f t="shared" si="12"/>
        <v>2748.2</v>
      </c>
      <c r="M99" s="16">
        <f>1211-711.13</f>
        <v>499.87</v>
      </c>
      <c r="N99" s="16">
        <v>184.9</v>
      </c>
      <c r="O99" s="68">
        <v>888.91250000000002</v>
      </c>
      <c r="P99" s="69" t="s">
        <v>19</v>
      </c>
    </row>
    <row r="100" spans="1:16">
      <c r="A100" s="105">
        <v>11</v>
      </c>
      <c r="B100" s="105" t="s">
        <v>118</v>
      </c>
      <c r="C100" s="139">
        <v>1959</v>
      </c>
      <c r="D100" s="105" t="s">
        <v>26</v>
      </c>
      <c r="E100" s="105" t="s">
        <v>33</v>
      </c>
      <c r="F100" s="105">
        <v>4</v>
      </c>
      <c r="G100" s="105">
        <v>3</v>
      </c>
      <c r="H100" s="105">
        <v>48</v>
      </c>
      <c r="I100" s="105">
        <v>88</v>
      </c>
      <c r="J100" s="16">
        <v>2015.5</v>
      </c>
      <c r="K100" s="16">
        <v>0</v>
      </c>
      <c r="L100" s="16">
        <f t="shared" si="12"/>
        <v>2015.5</v>
      </c>
      <c r="M100" s="16">
        <f>1103-641.97</f>
        <v>461.03</v>
      </c>
      <c r="N100" s="16">
        <v>172.4</v>
      </c>
      <c r="O100" s="68">
        <v>802.46249999999998</v>
      </c>
      <c r="P100" s="69" t="s">
        <v>19</v>
      </c>
    </row>
    <row r="101" spans="1:16">
      <c r="A101" s="105">
        <v>12</v>
      </c>
      <c r="B101" s="105" t="s">
        <v>119</v>
      </c>
      <c r="C101" s="139">
        <v>1956</v>
      </c>
      <c r="D101" s="105" t="s">
        <v>42</v>
      </c>
      <c r="E101" s="105" t="s">
        <v>33</v>
      </c>
      <c r="F101" s="105">
        <v>5</v>
      </c>
      <c r="G101" s="105">
        <v>3</v>
      </c>
      <c r="H101" s="105">
        <v>60</v>
      </c>
      <c r="I101" s="105">
        <v>128</v>
      </c>
      <c r="J101" s="16">
        <v>3836.4</v>
      </c>
      <c r="K101" s="16">
        <v>269.7</v>
      </c>
      <c r="L101" s="16">
        <f t="shared" si="12"/>
        <v>4106.1000000000004</v>
      </c>
      <c r="M101" s="16">
        <f>1970-1074.88</f>
        <v>895.11999999999989</v>
      </c>
      <c r="N101" s="16">
        <v>401.7</v>
      </c>
      <c r="O101" s="68">
        <v>1343.6</v>
      </c>
      <c r="P101" s="69" t="s">
        <v>19</v>
      </c>
    </row>
    <row r="102" spans="1:16">
      <c r="A102" s="105">
        <v>13</v>
      </c>
      <c r="B102" s="105" t="s">
        <v>120</v>
      </c>
      <c r="C102" s="139">
        <v>1949</v>
      </c>
      <c r="D102" s="105" t="s">
        <v>69</v>
      </c>
      <c r="E102" s="105" t="s">
        <v>33</v>
      </c>
      <c r="F102" s="105">
        <v>2</v>
      </c>
      <c r="G102" s="105">
        <v>2</v>
      </c>
      <c r="H102" s="105">
        <v>12</v>
      </c>
      <c r="I102" s="105">
        <v>14</v>
      </c>
      <c r="J102" s="16">
        <v>590.79999999999995</v>
      </c>
      <c r="K102" s="16">
        <v>142.19999999999999</v>
      </c>
      <c r="L102" s="16">
        <f t="shared" si="12"/>
        <v>733</v>
      </c>
      <c r="M102" s="16">
        <f>1369-560</f>
        <v>809</v>
      </c>
      <c r="N102" s="16">
        <v>75.099999999999994</v>
      </c>
      <c r="O102" s="68">
        <v>700</v>
      </c>
      <c r="P102" s="69" t="s">
        <v>19</v>
      </c>
    </row>
    <row r="103" spans="1:16">
      <c r="A103" s="105">
        <v>14</v>
      </c>
      <c r="B103" s="105" t="s">
        <v>121</v>
      </c>
      <c r="C103" s="139">
        <v>1956</v>
      </c>
      <c r="D103" s="105" t="s">
        <v>65</v>
      </c>
      <c r="E103" s="105" t="s">
        <v>33</v>
      </c>
      <c r="F103" s="105">
        <v>5</v>
      </c>
      <c r="G103" s="105">
        <v>3</v>
      </c>
      <c r="H103" s="105">
        <v>49</v>
      </c>
      <c r="I103" s="105">
        <v>99</v>
      </c>
      <c r="J103" s="16">
        <v>2926.8</v>
      </c>
      <c r="K103" s="16">
        <f>49.3+742.8</f>
        <v>792.09999999999991</v>
      </c>
      <c r="L103" s="16">
        <f t="shared" si="12"/>
        <v>3718.9</v>
      </c>
      <c r="M103" s="16">
        <f>1854-1023.42</f>
        <v>830.58</v>
      </c>
      <c r="N103" s="16">
        <v>323.89999999999998</v>
      </c>
      <c r="O103" s="68">
        <v>1279.2750000000001</v>
      </c>
      <c r="P103" s="69" t="s">
        <v>19</v>
      </c>
    </row>
    <row r="104" spans="1:16">
      <c r="A104" s="105">
        <v>15</v>
      </c>
      <c r="B104" s="105" t="s">
        <v>122</v>
      </c>
      <c r="C104" s="139">
        <v>1959</v>
      </c>
      <c r="D104" s="105" t="s">
        <v>65</v>
      </c>
      <c r="E104" s="105" t="s">
        <v>33</v>
      </c>
      <c r="F104" s="105">
        <v>5</v>
      </c>
      <c r="G104" s="105">
        <v>4</v>
      </c>
      <c r="H104" s="105">
        <v>70</v>
      </c>
      <c r="I104" s="105">
        <v>143</v>
      </c>
      <c r="J104" s="16">
        <v>4725.3</v>
      </c>
      <c r="K104" s="16">
        <v>0</v>
      </c>
      <c r="L104" s="16">
        <f t="shared" si="12"/>
        <v>4725.3</v>
      </c>
      <c r="M104" s="16">
        <f>2554-1344.31</f>
        <v>1209.69</v>
      </c>
      <c r="N104" s="16">
        <v>484.8</v>
      </c>
      <c r="O104" s="68">
        <v>1680.3875</v>
      </c>
      <c r="P104" s="69" t="s">
        <v>19</v>
      </c>
    </row>
    <row r="105" spans="1:16">
      <c r="A105" s="105">
        <v>16</v>
      </c>
      <c r="B105" s="105" t="s">
        <v>123</v>
      </c>
      <c r="C105" s="139">
        <v>1949</v>
      </c>
      <c r="D105" s="105" t="s">
        <v>65</v>
      </c>
      <c r="E105" s="105" t="s">
        <v>33</v>
      </c>
      <c r="F105" s="105">
        <v>2</v>
      </c>
      <c r="G105" s="140">
        <v>1</v>
      </c>
      <c r="H105" s="140">
        <v>8</v>
      </c>
      <c r="I105" s="140">
        <v>16</v>
      </c>
      <c r="J105" s="16">
        <v>424</v>
      </c>
      <c r="K105" s="16">
        <v>0</v>
      </c>
      <c r="L105" s="16">
        <f t="shared" si="12"/>
        <v>424</v>
      </c>
      <c r="M105" s="16">
        <v>555</v>
      </c>
      <c r="N105" s="16">
        <v>41.4</v>
      </c>
      <c r="O105" s="68">
        <v>403.75</v>
      </c>
      <c r="P105" s="69" t="s">
        <v>19</v>
      </c>
    </row>
    <row r="106" spans="1:16">
      <c r="A106" s="105">
        <v>17</v>
      </c>
      <c r="B106" s="105" t="s">
        <v>124</v>
      </c>
      <c r="C106" s="139">
        <v>1957</v>
      </c>
      <c r="D106" s="105" t="s">
        <v>67</v>
      </c>
      <c r="E106" s="105" t="s">
        <v>33</v>
      </c>
      <c r="F106" s="105">
        <v>3</v>
      </c>
      <c r="G106" s="140">
        <v>2</v>
      </c>
      <c r="H106" s="140">
        <v>17</v>
      </c>
      <c r="I106" s="140">
        <v>36</v>
      </c>
      <c r="J106" s="16">
        <v>842.3</v>
      </c>
      <c r="K106" s="16">
        <v>30.5</v>
      </c>
      <c r="L106" s="16">
        <v>872.8</v>
      </c>
      <c r="M106" s="16">
        <v>921.19</v>
      </c>
      <c r="N106" s="16">
        <v>81.599999999999994</v>
      </c>
      <c r="O106" s="68">
        <v>541.01250000000005</v>
      </c>
      <c r="P106" s="69" t="s">
        <v>19</v>
      </c>
    </row>
    <row r="107" spans="1:16">
      <c r="A107" s="105">
        <v>18</v>
      </c>
      <c r="B107" s="105" t="s">
        <v>125</v>
      </c>
      <c r="C107" s="139">
        <v>1968</v>
      </c>
      <c r="D107" s="105" t="s">
        <v>26</v>
      </c>
      <c r="E107" s="105" t="s">
        <v>33</v>
      </c>
      <c r="F107" s="105">
        <v>5</v>
      </c>
      <c r="G107" s="105">
        <v>2</v>
      </c>
      <c r="H107" s="105">
        <v>40</v>
      </c>
      <c r="I107" s="105">
        <v>70</v>
      </c>
      <c r="J107" s="16">
        <v>1857.6</v>
      </c>
      <c r="K107" s="16">
        <v>91.9</v>
      </c>
      <c r="L107" s="16">
        <f t="shared" ref="L107:L113" si="13">J107+K107</f>
        <v>1949.5</v>
      </c>
      <c r="M107" s="16">
        <f>1041-523</f>
        <v>518</v>
      </c>
      <c r="N107" s="16">
        <v>163.19999999999999</v>
      </c>
      <c r="O107" s="68">
        <v>653.75</v>
      </c>
      <c r="P107" s="69" t="s">
        <v>19</v>
      </c>
    </row>
    <row r="108" spans="1:16">
      <c r="A108" s="11">
        <v>19</v>
      </c>
      <c r="B108" s="11" t="s">
        <v>126</v>
      </c>
      <c r="C108" s="121">
        <v>1956</v>
      </c>
      <c r="D108" s="11" t="s">
        <v>22</v>
      </c>
      <c r="E108" s="11" t="s">
        <v>33</v>
      </c>
      <c r="F108" s="11">
        <v>3</v>
      </c>
      <c r="G108" s="11">
        <v>3</v>
      </c>
      <c r="H108" s="11">
        <v>19</v>
      </c>
      <c r="I108" s="11">
        <v>38</v>
      </c>
      <c r="J108" s="19">
        <v>952.7</v>
      </c>
      <c r="K108" s="19">
        <v>0</v>
      </c>
      <c r="L108" s="19">
        <f t="shared" si="13"/>
        <v>952.7</v>
      </c>
      <c r="M108" s="19">
        <f>1133-466</f>
        <v>667</v>
      </c>
      <c r="N108" s="16">
        <v>88.3</v>
      </c>
      <c r="O108" s="46">
        <v>582.5</v>
      </c>
      <c r="P108" s="40" t="s">
        <v>19</v>
      </c>
    </row>
    <row r="109" spans="1:16">
      <c r="A109" s="11">
        <v>20</v>
      </c>
      <c r="B109" s="11" t="s">
        <v>127</v>
      </c>
      <c r="C109" s="121">
        <v>1957</v>
      </c>
      <c r="D109" s="11" t="s">
        <v>22</v>
      </c>
      <c r="E109" s="11" t="s">
        <v>33</v>
      </c>
      <c r="F109" s="11">
        <v>3</v>
      </c>
      <c r="G109" s="11">
        <v>3</v>
      </c>
      <c r="H109" s="11">
        <v>24</v>
      </c>
      <c r="I109" s="11">
        <v>47</v>
      </c>
      <c r="J109" s="19">
        <v>1411.2</v>
      </c>
      <c r="K109" s="19">
        <v>88.9</v>
      </c>
      <c r="L109" s="19">
        <f t="shared" si="13"/>
        <v>1500.1000000000001</v>
      </c>
      <c r="M109" s="19">
        <f>1531-703</f>
        <v>828</v>
      </c>
      <c r="N109" s="16">
        <v>150.5</v>
      </c>
      <c r="O109" s="46">
        <v>878.75</v>
      </c>
      <c r="P109" s="40" t="s">
        <v>19</v>
      </c>
    </row>
    <row r="110" spans="1:16">
      <c r="A110" s="11">
        <v>21</v>
      </c>
      <c r="B110" s="11" t="s">
        <v>128</v>
      </c>
      <c r="C110" s="121">
        <v>1970</v>
      </c>
      <c r="D110" s="11" t="s">
        <v>22</v>
      </c>
      <c r="E110" s="11" t="s">
        <v>33</v>
      </c>
      <c r="F110" s="11">
        <v>5</v>
      </c>
      <c r="G110" s="11">
        <v>4</v>
      </c>
      <c r="H110" s="11">
        <v>70</v>
      </c>
      <c r="I110" s="11">
        <v>149</v>
      </c>
      <c r="J110" s="19">
        <v>3134.9</v>
      </c>
      <c r="K110" s="19">
        <v>701.3</v>
      </c>
      <c r="L110" s="19">
        <f t="shared" si="13"/>
        <v>3836.2</v>
      </c>
      <c r="M110" s="19">
        <f>1886-927.6</f>
        <v>958.4</v>
      </c>
      <c r="N110" s="16">
        <v>268.8</v>
      </c>
      <c r="O110" s="46">
        <v>1159.5</v>
      </c>
      <c r="P110" s="40" t="s">
        <v>19</v>
      </c>
    </row>
    <row r="111" spans="1:16">
      <c r="A111" s="11">
        <v>22</v>
      </c>
      <c r="B111" s="11" t="s">
        <v>129</v>
      </c>
      <c r="C111" s="121">
        <v>1960</v>
      </c>
      <c r="D111" s="11" t="s">
        <v>26</v>
      </c>
      <c r="E111" s="11" t="s">
        <v>33</v>
      </c>
      <c r="F111" s="11">
        <v>4</v>
      </c>
      <c r="G111" s="11">
        <v>2</v>
      </c>
      <c r="H111" s="11">
        <v>34</v>
      </c>
      <c r="I111" s="11">
        <v>53</v>
      </c>
      <c r="J111" s="19">
        <v>1241.56</v>
      </c>
      <c r="K111" s="19">
        <v>0</v>
      </c>
      <c r="L111" s="19">
        <f t="shared" si="13"/>
        <v>1241.56</v>
      </c>
      <c r="M111" s="19">
        <f>1058-406</f>
        <v>652</v>
      </c>
      <c r="N111" s="16">
        <v>114.4</v>
      </c>
      <c r="O111" s="46">
        <v>507.5</v>
      </c>
      <c r="P111" s="40" t="s">
        <v>19</v>
      </c>
    </row>
    <row r="112" spans="1:16">
      <c r="A112" s="11">
        <v>23</v>
      </c>
      <c r="B112" s="11" t="s">
        <v>130</v>
      </c>
      <c r="C112" s="121">
        <v>1957</v>
      </c>
      <c r="D112" s="11" t="s">
        <v>69</v>
      </c>
      <c r="E112" s="11" t="s">
        <v>33</v>
      </c>
      <c r="F112" s="11">
        <v>2</v>
      </c>
      <c r="G112" s="11">
        <v>1</v>
      </c>
      <c r="H112" s="11">
        <v>9</v>
      </c>
      <c r="I112" s="11">
        <v>25</v>
      </c>
      <c r="J112" s="19">
        <v>390.2</v>
      </c>
      <c r="K112" s="19">
        <v>0</v>
      </c>
      <c r="L112" s="19">
        <f t="shared" si="13"/>
        <v>390.2</v>
      </c>
      <c r="M112" s="19">
        <f>750-307</f>
        <v>443</v>
      </c>
      <c r="N112" s="16">
        <v>40.200000000000003</v>
      </c>
      <c r="O112" s="46">
        <v>383.75</v>
      </c>
      <c r="P112" s="40" t="s">
        <v>19</v>
      </c>
    </row>
    <row r="113" spans="1:16">
      <c r="A113" s="11">
        <v>24</v>
      </c>
      <c r="B113" s="11" t="s">
        <v>131</v>
      </c>
      <c r="C113" s="121">
        <v>1959</v>
      </c>
      <c r="D113" s="11" t="s">
        <v>26</v>
      </c>
      <c r="E113" s="11" t="s">
        <v>33</v>
      </c>
      <c r="F113" s="11">
        <v>4</v>
      </c>
      <c r="G113" s="11">
        <v>2</v>
      </c>
      <c r="H113" s="11">
        <v>32</v>
      </c>
      <c r="I113" s="11">
        <v>57</v>
      </c>
      <c r="J113" s="19">
        <v>1259.42</v>
      </c>
      <c r="K113" s="19">
        <v>0</v>
      </c>
      <c r="L113" s="19">
        <f t="shared" si="13"/>
        <v>1259.42</v>
      </c>
      <c r="M113" s="19">
        <f>925-423</f>
        <v>502</v>
      </c>
      <c r="N113" s="16">
        <v>113.9</v>
      </c>
      <c r="O113" s="46">
        <v>528.79999999999995</v>
      </c>
      <c r="P113" s="40" t="s">
        <v>19</v>
      </c>
    </row>
    <row r="114" spans="1:16">
      <c r="A114" s="11">
        <v>25</v>
      </c>
      <c r="B114" s="11" t="s">
        <v>132</v>
      </c>
      <c r="C114" s="121">
        <v>1955</v>
      </c>
      <c r="D114" s="11" t="s">
        <v>69</v>
      </c>
      <c r="E114" s="11" t="s">
        <v>33</v>
      </c>
      <c r="F114" s="11">
        <v>2</v>
      </c>
      <c r="G114" s="11">
        <v>1</v>
      </c>
      <c r="H114" s="11">
        <v>8</v>
      </c>
      <c r="I114" s="11">
        <v>17</v>
      </c>
      <c r="J114" s="19">
        <v>490</v>
      </c>
      <c r="K114" s="19">
        <v>0</v>
      </c>
      <c r="L114" s="19">
        <f>K114+J114</f>
        <v>490</v>
      </c>
      <c r="M114" s="19">
        <f>876-346</f>
        <v>530</v>
      </c>
      <c r="N114" s="16">
        <v>21.5</v>
      </c>
      <c r="O114" s="46">
        <v>432.5</v>
      </c>
      <c r="P114" s="40" t="s">
        <v>19</v>
      </c>
    </row>
    <row r="115" spans="1:16">
      <c r="A115" s="11">
        <v>26</v>
      </c>
      <c r="B115" s="11" t="s">
        <v>133</v>
      </c>
      <c r="C115" s="121">
        <v>1960</v>
      </c>
      <c r="D115" s="11" t="s">
        <v>42</v>
      </c>
      <c r="E115" s="11" t="s">
        <v>33</v>
      </c>
      <c r="F115" s="11">
        <v>5</v>
      </c>
      <c r="G115" s="11">
        <v>2</v>
      </c>
      <c r="H115" s="11">
        <v>30</v>
      </c>
      <c r="I115" s="11">
        <v>42</v>
      </c>
      <c r="J115" s="19">
        <v>1197.4000000000001</v>
      </c>
      <c r="K115" s="19">
        <v>116.8</v>
      </c>
      <c r="L115" s="19">
        <f>K115+J115</f>
        <v>1314.2</v>
      </c>
      <c r="M115" s="19">
        <f>927-455</f>
        <v>472</v>
      </c>
      <c r="N115" s="16">
        <v>101.5</v>
      </c>
      <c r="O115" s="46">
        <v>693.8</v>
      </c>
      <c r="P115" s="40" t="s">
        <v>19</v>
      </c>
    </row>
    <row r="116" spans="1:16">
      <c r="A116" s="11">
        <v>27</v>
      </c>
      <c r="B116" s="11" t="s">
        <v>134</v>
      </c>
      <c r="C116" s="121">
        <v>1957</v>
      </c>
      <c r="D116" s="11" t="s">
        <v>32</v>
      </c>
      <c r="E116" s="11" t="s">
        <v>33</v>
      </c>
      <c r="F116" s="11">
        <v>2</v>
      </c>
      <c r="G116" s="11">
        <v>1</v>
      </c>
      <c r="H116" s="11">
        <v>8</v>
      </c>
      <c r="I116" s="11">
        <v>17</v>
      </c>
      <c r="J116" s="19">
        <v>416.1</v>
      </c>
      <c r="K116" s="19">
        <v>0</v>
      </c>
      <c r="L116" s="19">
        <f t="shared" ref="L116:L141" si="14">J116+K116</f>
        <v>416.1</v>
      </c>
      <c r="M116" s="19">
        <f>781-306</f>
        <v>475</v>
      </c>
      <c r="N116" s="16">
        <v>39.700000000000003</v>
      </c>
      <c r="O116" s="46">
        <v>382.5</v>
      </c>
      <c r="P116" s="40" t="s">
        <v>19</v>
      </c>
    </row>
    <row r="117" spans="1:16">
      <c r="A117" s="11">
        <v>28</v>
      </c>
      <c r="B117" s="11" t="s">
        <v>135</v>
      </c>
      <c r="C117" s="121">
        <v>1959</v>
      </c>
      <c r="D117" s="11" t="s">
        <v>17</v>
      </c>
      <c r="E117" s="11" t="s">
        <v>33</v>
      </c>
      <c r="F117" s="11">
        <v>4</v>
      </c>
      <c r="G117" s="11">
        <v>2</v>
      </c>
      <c r="H117" s="11">
        <v>32</v>
      </c>
      <c r="I117" s="11">
        <v>46</v>
      </c>
      <c r="J117" s="19">
        <v>1287.5999999999999</v>
      </c>
      <c r="K117" s="19">
        <v>160</v>
      </c>
      <c r="L117" s="19">
        <f t="shared" si="14"/>
        <v>1447.6</v>
      </c>
      <c r="M117" s="19">
        <f>1025-473</f>
        <v>552</v>
      </c>
      <c r="N117" s="16">
        <v>98.7</v>
      </c>
      <c r="O117" s="46">
        <v>591.25</v>
      </c>
      <c r="P117" s="40" t="s">
        <v>19</v>
      </c>
    </row>
    <row r="118" spans="1:16">
      <c r="A118" s="11">
        <v>29</v>
      </c>
      <c r="B118" s="11" t="s">
        <v>136</v>
      </c>
      <c r="C118" s="121">
        <v>1957</v>
      </c>
      <c r="D118" s="11" t="s">
        <v>32</v>
      </c>
      <c r="E118" s="11" t="s">
        <v>33</v>
      </c>
      <c r="F118" s="11">
        <v>2</v>
      </c>
      <c r="G118" s="11">
        <v>1</v>
      </c>
      <c r="H118" s="11">
        <v>8</v>
      </c>
      <c r="I118" s="11">
        <v>15</v>
      </c>
      <c r="J118" s="19">
        <v>416.3</v>
      </c>
      <c r="K118" s="19">
        <v>0</v>
      </c>
      <c r="L118" s="19">
        <f t="shared" si="14"/>
        <v>416.3</v>
      </c>
      <c r="M118" s="19">
        <f>820-306</f>
        <v>514</v>
      </c>
      <c r="N118" s="16">
        <v>40.1</v>
      </c>
      <c r="O118" s="46">
        <v>382.5</v>
      </c>
      <c r="P118" s="40" t="s">
        <v>19</v>
      </c>
    </row>
    <row r="119" spans="1:16">
      <c r="A119" s="11">
        <v>30</v>
      </c>
      <c r="B119" s="11" t="s">
        <v>137</v>
      </c>
      <c r="C119" s="121">
        <v>1958</v>
      </c>
      <c r="D119" s="11" t="s">
        <v>32</v>
      </c>
      <c r="E119" s="11" t="s">
        <v>33</v>
      </c>
      <c r="F119" s="11">
        <v>2</v>
      </c>
      <c r="G119" s="11">
        <v>1</v>
      </c>
      <c r="H119" s="11">
        <v>32</v>
      </c>
      <c r="I119" s="11">
        <v>60</v>
      </c>
      <c r="J119" s="19">
        <v>1283.5</v>
      </c>
      <c r="K119" s="19">
        <v>0</v>
      </c>
      <c r="L119" s="19">
        <f t="shared" si="14"/>
        <v>1283.5</v>
      </c>
      <c r="M119" s="19">
        <f>838-445</f>
        <v>393</v>
      </c>
      <c r="N119" s="16">
        <v>96.2</v>
      </c>
      <c r="O119" s="46">
        <v>556.25</v>
      </c>
      <c r="P119" s="40" t="s">
        <v>19</v>
      </c>
    </row>
    <row r="120" spans="1:16">
      <c r="A120" s="11">
        <v>31</v>
      </c>
      <c r="B120" s="11" t="s">
        <v>138</v>
      </c>
      <c r="C120" s="121">
        <v>1957</v>
      </c>
      <c r="D120" s="11" t="s">
        <v>32</v>
      </c>
      <c r="E120" s="11" t="s">
        <v>33</v>
      </c>
      <c r="F120" s="11">
        <v>2</v>
      </c>
      <c r="G120" s="11">
        <v>1</v>
      </c>
      <c r="H120" s="11">
        <v>8</v>
      </c>
      <c r="I120" s="11">
        <v>21</v>
      </c>
      <c r="J120" s="19">
        <v>411.1</v>
      </c>
      <c r="K120" s="19">
        <v>0</v>
      </c>
      <c r="L120" s="19">
        <f t="shared" si="14"/>
        <v>411.1</v>
      </c>
      <c r="M120" s="19">
        <f>825-303</f>
        <v>522</v>
      </c>
      <c r="N120" s="16">
        <v>70.7</v>
      </c>
      <c r="O120" s="46">
        <v>378.75</v>
      </c>
      <c r="P120" s="40" t="s">
        <v>19</v>
      </c>
    </row>
    <row r="121" spans="1:16">
      <c r="A121" s="11">
        <v>32</v>
      </c>
      <c r="B121" s="11" t="s">
        <v>139</v>
      </c>
      <c r="C121" s="121">
        <v>1957</v>
      </c>
      <c r="D121" s="11" t="s">
        <v>32</v>
      </c>
      <c r="E121" s="11" t="s">
        <v>33</v>
      </c>
      <c r="F121" s="11">
        <v>2</v>
      </c>
      <c r="G121" s="11">
        <v>1</v>
      </c>
      <c r="H121" s="11">
        <v>9</v>
      </c>
      <c r="I121" s="11">
        <v>20</v>
      </c>
      <c r="J121" s="19">
        <v>412.9</v>
      </c>
      <c r="K121" s="19">
        <v>0</v>
      </c>
      <c r="L121" s="19">
        <f t="shared" si="14"/>
        <v>412.9</v>
      </c>
      <c r="M121" s="19">
        <f>812-306</f>
        <v>506</v>
      </c>
      <c r="N121" s="16">
        <v>39.700000000000003</v>
      </c>
      <c r="O121" s="46">
        <v>382.5</v>
      </c>
      <c r="P121" s="40" t="s">
        <v>19</v>
      </c>
    </row>
    <row r="122" spans="1:16">
      <c r="A122" s="11">
        <v>33</v>
      </c>
      <c r="B122" s="11" t="s">
        <v>140</v>
      </c>
      <c r="C122" s="121">
        <v>1954</v>
      </c>
      <c r="D122" s="11" t="s">
        <v>65</v>
      </c>
      <c r="E122" s="11" t="s">
        <v>33</v>
      </c>
      <c r="F122" s="11">
        <v>3</v>
      </c>
      <c r="G122" s="141">
        <v>1</v>
      </c>
      <c r="H122" s="141">
        <v>12</v>
      </c>
      <c r="I122" s="141">
        <v>26</v>
      </c>
      <c r="J122" s="19">
        <v>732</v>
      </c>
      <c r="K122" s="19">
        <v>0</v>
      </c>
      <c r="L122" s="19">
        <f t="shared" si="14"/>
        <v>732</v>
      </c>
      <c r="M122" s="19">
        <v>248.5</v>
      </c>
      <c r="N122" s="16">
        <v>66.5</v>
      </c>
      <c r="O122" s="46">
        <v>474.375</v>
      </c>
      <c r="P122" s="40" t="s">
        <v>19</v>
      </c>
    </row>
    <row r="123" spans="1:16">
      <c r="A123" s="11">
        <v>34</v>
      </c>
      <c r="B123" s="11" t="s">
        <v>141</v>
      </c>
      <c r="C123" s="121">
        <v>1954</v>
      </c>
      <c r="D123" s="11" t="s">
        <v>67</v>
      </c>
      <c r="E123" s="11" t="s">
        <v>33</v>
      </c>
      <c r="F123" s="11">
        <v>3</v>
      </c>
      <c r="G123" s="11">
        <v>1</v>
      </c>
      <c r="H123" s="11">
        <v>12</v>
      </c>
      <c r="I123" s="11">
        <v>24</v>
      </c>
      <c r="J123" s="19">
        <v>779.1</v>
      </c>
      <c r="K123" s="19">
        <v>0</v>
      </c>
      <c r="L123" s="19">
        <f t="shared" si="14"/>
        <v>779.1</v>
      </c>
      <c r="M123" s="19">
        <f>755-376.84</f>
        <v>378.16</v>
      </c>
      <c r="N123" s="16">
        <v>67</v>
      </c>
      <c r="O123" s="46">
        <v>471.05</v>
      </c>
      <c r="P123" s="40" t="s">
        <v>19</v>
      </c>
    </row>
    <row r="124" spans="1:16">
      <c r="A124" s="11">
        <v>35</v>
      </c>
      <c r="B124" s="11" t="s">
        <v>142</v>
      </c>
      <c r="C124" s="121">
        <v>1964</v>
      </c>
      <c r="D124" s="11" t="s">
        <v>26</v>
      </c>
      <c r="E124" s="11" t="s">
        <v>33</v>
      </c>
      <c r="F124" s="11">
        <v>5</v>
      </c>
      <c r="G124" s="11">
        <v>3</v>
      </c>
      <c r="H124" s="11">
        <v>60</v>
      </c>
      <c r="I124" s="11">
        <v>102</v>
      </c>
      <c r="J124" s="19">
        <v>2569.8000000000002</v>
      </c>
      <c r="K124" s="19">
        <v>0</v>
      </c>
      <c r="L124" s="19">
        <f t="shared" si="14"/>
        <v>2569.8000000000002</v>
      </c>
      <c r="M124" s="19">
        <f>1199-722</f>
        <v>477</v>
      </c>
      <c r="N124" s="16">
        <v>187.5</v>
      </c>
      <c r="O124" s="46">
        <v>902.5</v>
      </c>
      <c r="P124" s="40" t="s">
        <v>19</v>
      </c>
    </row>
    <row r="125" spans="1:16">
      <c r="A125" s="11">
        <v>36</v>
      </c>
      <c r="B125" s="11" t="s">
        <v>143</v>
      </c>
      <c r="C125" s="121">
        <v>1954</v>
      </c>
      <c r="D125" s="11" t="s">
        <v>67</v>
      </c>
      <c r="E125" s="11" t="s">
        <v>33</v>
      </c>
      <c r="F125" s="11">
        <v>3</v>
      </c>
      <c r="G125" s="11">
        <v>2</v>
      </c>
      <c r="H125" s="11">
        <v>18</v>
      </c>
      <c r="I125" s="11">
        <v>41</v>
      </c>
      <c r="J125" s="19">
        <v>1122.5</v>
      </c>
      <c r="K125" s="19">
        <v>0</v>
      </c>
      <c r="L125" s="19">
        <f t="shared" si="14"/>
        <v>1122.5</v>
      </c>
      <c r="M125" s="19">
        <f>994-525.06</f>
        <v>468.94000000000005</v>
      </c>
      <c r="N125" s="16">
        <v>106.1</v>
      </c>
      <c r="O125" s="46">
        <v>656.32500000000005</v>
      </c>
      <c r="P125" s="40" t="s">
        <v>19</v>
      </c>
    </row>
    <row r="126" spans="1:16">
      <c r="A126" s="11">
        <v>37</v>
      </c>
      <c r="B126" s="11" t="s">
        <v>144</v>
      </c>
      <c r="C126" s="121">
        <v>1964</v>
      </c>
      <c r="D126" s="11" t="s">
        <v>26</v>
      </c>
      <c r="E126" s="11" t="s">
        <v>33</v>
      </c>
      <c r="F126" s="11">
        <v>5</v>
      </c>
      <c r="G126" s="11">
        <v>4</v>
      </c>
      <c r="H126" s="11">
        <v>60</v>
      </c>
      <c r="I126" s="11">
        <v>119</v>
      </c>
      <c r="J126" s="19">
        <v>2589.6</v>
      </c>
      <c r="K126" s="19">
        <v>0</v>
      </c>
      <c r="L126" s="19">
        <f t="shared" si="14"/>
        <v>2589.6</v>
      </c>
      <c r="M126" s="19">
        <f>1432-708.78</f>
        <v>723.22</v>
      </c>
      <c r="N126" s="16">
        <v>246.7</v>
      </c>
      <c r="O126" s="46">
        <v>885.97500000000002</v>
      </c>
      <c r="P126" s="40" t="s">
        <v>19</v>
      </c>
    </row>
    <row r="127" spans="1:16">
      <c r="A127" s="11">
        <v>38</v>
      </c>
      <c r="B127" s="11" t="s">
        <v>145</v>
      </c>
      <c r="C127" s="121">
        <v>1950</v>
      </c>
      <c r="D127" s="11" t="s">
        <v>67</v>
      </c>
      <c r="E127" s="11" t="s">
        <v>33</v>
      </c>
      <c r="F127" s="11">
        <v>3</v>
      </c>
      <c r="G127" s="11">
        <v>4</v>
      </c>
      <c r="H127" s="11">
        <v>14</v>
      </c>
      <c r="I127" s="11">
        <v>35</v>
      </c>
      <c r="J127" s="19">
        <v>1176.5999999999999</v>
      </c>
      <c r="K127" s="19">
        <f>607.7+484.2</f>
        <v>1091.9000000000001</v>
      </c>
      <c r="L127" s="19">
        <f t="shared" si="14"/>
        <v>2268.5</v>
      </c>
      <c r="M127" s="19">
        <f>1813-1130.43</f>
        <v>682.56999999999994</v>
      </c>
      <c r="N127" s="16">
        <v>158</v>
      </c>
      <c r="O127" s="46">
        <v>1413</v>
      </c>
      <c r="P127" s="40" t="s">
        <v>19</v>
      </c>
    </row>
    <row r="128" spans="1:16">
      <c r="A128" s="11">
        <v>39</v>
      </c>
      <c r="B128" s="11" t="s">
        <v>146</v>
      </c>
      <c r="C128" s="121">
        <v>1949</v>
      </c>
      <c r="D128" s="11" t="s">
        <v>67</v>
      </c>
      <c r="E128" s="11" t="s">
        <v>33</v>
      </c>
      <c r="F128" s="11">
        <v>3</v>
      </c>
      <c r="G128" s="11">
        <v>3</v>
      </c>
      <c r="H128" s="11">
        <v>17</v>
      </c>
      <c r="I128" s="11">
        <v>33</v>
      </c>
      <c r="J128" s="19">
        <v>1126.5</v>
      </c>
      <c r="K128" s="19">
        <v>418.4</v>
      </c>
      <c r="L128" s="19">
        <f t="shared" si="14"/>
        <v>1544.9</v>
      </c>
      <c r="M128" s="19">
        <f>1585-778</f>
        <v>807</v>
      </c>
      <c r="N128" s="16">
        <v>152.19999999999999</v>
      </c>
      <c r="O128" s="46">
        <v>972.5</v>
      </c>
      <c r="P128" s="40" t="s">
        <v>19</v>
      </c>
    </row>
    <row r="129" spans="1:16">
      <c r="A129" s="11">
        <v>40</v>
      </c>
      <c r="B129" s="11" t="s">
        <v>147</v>
      </c>
      <c r="C129" s="121">
        <v>1952</v>
      </c>
      <c r="D129" s="11" t="s">
        <v>67</v>
      </c>
      <c r="E129" s="11" t="s">
        <v>33</v>
      </c>
      <c r="F129" s="11">
        <v>3</v>
      </c>
      <c r="G129" s="11">
        <v>3</v>
      </c>
      <c r="H129" s="11">
        <v>12</v>
      </c>
      <c r="I129" s="11">
        <v>24</v>
      </c>
      <c r="J129" s="19">
        <v>638.1</v>
      </c>
      <c r="K129" s="19">
        <v>0</v>
      </c>
      <c r="L129" s="19">
        <f t="shared" si="14"/>
        <v>638.1</v>
      </c>
      <c r="M129" s="19">
        <f>928-331</f>
        <v>597</v>
      </c>
      <c r="N129" s="16">
        <v>58.9</v>
      </c>
      <c r="O129" s="46">
        <v>413.75</v>
      </c>
      <c r="P129" s="40" t="s">
        <v>19</v>
      </c>
    </row>
    <row r="130" spans="1:16">
      <c r="A130" s="11">
        <v>41</v>
      </c>
      <c r="B130" s="11" t="s">
        <v>148</v>
      </c>
      <c r="C130" s="121">
        <v>1952</v>
      </c>
      <c r="D130" s="11" t="s">
        <v>67</v>
      </c>
      <c r="E130" s="11" t="s">
        <v>33</v>
      </c>
      <c r="F130" s="11">
        <v>3</v>
      </c>
      <c r="G130" s="11">
        <v>3</v>
      </c>
      <c r="H130" s="11">
        <v>11</v>
      </c>
      <c r="I130" s="11">
        <v>30</v>
      </c>
      <c r="J130" s="19">
        <v>652.6</v>
      </c>
      <c r="K130" s="19">
        <v>0</v>
      </c>
      <c r="L130" s="19">
        <f t="shared" si="14"/>
        <v>652.6</v>
      </c>
      <c r="M130" s="19">
        <f>945-330</f>
        <v>615</v>
      </c>
      <c r="N130" s="16">
        <v>60.9</v>
      </c>
      <c r="O130" s="46">
        <v>412.5</v>
      </c>
      <c r="P130" s="40" t="s">
        <v>19</v>
      </c>
    </row>
    <row r="131" spans="1:16">
      <c r="A131" s="11">
        <v>42</v>
      </c>
      <c r="B131" s="11" t="s">
        <v>149</v>
      </c>
      <c r="C131" s="121">
        <v>1952</v>
      </c>
      <c r="D131" s="11" t="s">
        <v>67</v>
      </c>
      <c r="E131" s="11" t="s">
        <v>33</v>
      </c>
      <c r="F131" s="11">
        <v>3</v>
      </c>
      <c r="G131" s="11">
        <v>3</v>
      </c>
      <c r="H131" s="11">
        <v>12</v>
      </c>
      <c r="I131" s="11">
        <v>20</v>
      </c>
      <c r="J131" s="19">
        <v>679.3</v>
      </c>
      <c r="K131" s="19">
        <v>407.9</v>
      </c>
      <c r="L131" s="19">
        <f t="shared" si="14"/>
        <v>1087.1999999999998</v>
      </c>
      <c r="M131" s="19">
        <f>1103-588</f>
        <v>515</v>
      </c>
      <c r="N131" s="16">
        <v>144</v>
      </c>
      <c r="O131" s="46">
        <v>735</v>
      </c>
      <c r="P131" s="40" t="s">
        <v>19</v>
      </c>
    </row>
    <row r="132" spans="1:16">
      <c r="A132" s="11">
        <v>43</v>
      </c>
      <c r="B132" s="11" t="s">
        <v>150</v>
      </c>
      <c r="C132" s="121">
        <v>1952</v>
      </c>
      <c r="D132" s="11" t="s">
        <v>67</v>
      </c>
      <c r="E132" s="11" t="s">
        <v>33</v>
      </c>
      <c r="F132" s="11">
        <v>3</v>
      </c>
      <c r="G132" s="11">
        <v>1</v>
      </c>
      <c r="H132" s="11">
        <v>12</v>
      </c>
      <c r="I132" s="11">
        <v>21</v>
      </c>
      <c r="J132" s="19">
        <v>651.9</v>
      </c>
      <c r="K132" s="19">
        <v>0</v>
      </c>
      <c r="L132" s="19">
        <f t="shared" si="14"/>
        <v>651.9</v>
      </c>
      <c r="M132" s="19">
        <f>880-327</f>
        <v>553</v>
      </c>
      <c r="N132" s="16">
        <v>58.2</v>
      </c>
      <c r="O132" s="46">
        <v>408.75</v>
      </c>
      <c r="P132" s="40" t="s">
        <v>19</v>
      </c>
    </row>
    <row r="133" spans="1:16">
      <c r="A133" s="11">
        <v>44</v>
      </c>
      <c r="B133" s="11" t="s">
        <v>151</v>
      </c>
      <c r="C133" s="121">
        <v>1951</v>
      </c>
      <c r="D133" s="11" t="s">
        <v>67</v>
      </c>
      <c r="E133" s="11" t="s">
        <v>33</v>
      </c>
      <c r="F133" s="11">
        <v>3</v>
      </c>
      <c r="G133" s="11">
        <v>4</v>
      </c>
      <c r="H133" s="11">
        <v>25</v>
      </c>
      <c r="I133" s="11">
        <v>38</v>
      </c>
      <c r="J133" s="19">
        <v>1495.3</v>
      </c>
      <c r="K133" s="19">
        <v>835.5</v>
      </c>
      <c r="L133" s="19">
        <f t="shared" si="14"/>
        <v>2330.8000000000002</v>
      </c>
      <c r="M133" s="19">
        <f>1927-1143</f>
        <v>784</v>
      </c>
      <c r="N133" s="16">
        <v>263.10000000000002</v>
      </c>
      <c r="O133" s="46">
        <v>1428.75</v>
      </c>
      <c r="P133" s="40" t="s">
        <v>19</v>
      </c>
    </row>
    <row r="134" spans="1:16">
      <c r="A134" s="11">
        <v>45</v>
      </c>
      <c r="B134" s="11" t="s">
        <v>152</v>
      </c>
      <c r="C134" s="121">
        <v>1949</v>
      </c>
      <c r="D134" s="11" t="s">
        <v>65</v>
      </c>
      <c r="E134" s="11" t="s">
        <v>33</v>
      </c>
      <c r="F134" s="11">
        <v>2</v>
      </c>
      <c r="G134" s="141">
        <v>1</v>
      </c>
      <c r="H134" s="141">
        <v>8</v>
      </c>
      <c r="I134" s="141">
        <v>16</v>
      </c>
      <c r="J134" s="19">
        <v>440</v>
      </c>
      <c r="K134" s="19">
        <v>0</v>
      </c>
      <c r="L134" s="19">
        <f t="shared" si="14"/>
        <v>440</v>
      </c>
      <c r="M134" s="19">
        <v>612</v>
      </c>
      <c r="N134" s="16">
        <v>39.200000000000003</v>
      </c>
      <c r="O134" s="46">
        <v>416.25</v>
      </c>
      <c r="P134" s="40" t="s">
        <v>19</v>
      </c>
    </row>
    <row r="135" spans="1:16">
      <c r="A135" s="11">
        <v>46</v>
      </c>
      <c r="B135" s="11" t="s">
        <v>153</v>
      </c>
      <c r="C135" s="121">
        <v>1950</v>
      </c>
      <c r="D135" s="11" t="s">
        <v>65</v>
      </c>
      <c r="E135" s="11" t="s">
        <v>33</v>
      </c>
      <c r="F135" s="11">
        <v>2</v>
      </c>
      <c r="G135" s="141">
        <v>1</v>
      </c>
      <c r="H135" s="141">
        <v>8</v>
      </c>
      <c r="I135" s="141">
        <v>13</v>
      </c>
      <c r="J135" s="19">
        <v>441</v>
      </c>
      <c r="K135" s="19">
        <v>0</v>
      </c>
      <c r="L135" s="19">
        <f t="shared" si="14"/>
        <v>441</v>
      </c>
      <c r="M135" s="19">
        <v>600</v>
      </c>
      <c r="N135" s="16">
        <v>42</v>
      </c>
      <c r="O135" s="46">
        <v>433.75</v>
      </c>
      <c r="P135" s="40" t="s">
        <v>19</v>
      </c>
    </row>
    <row r="136" spans="1:16">
      <c r="A136" s="11">
        <v>47</v>
      </c>
      <c r="B136" s="11" t="s">
        <v>154</v>
      </c>
      <c r="C136" s="121">
        <v>1953</v>
      </c>
      <c r="D136" s="11" t="s">
        <v>67</v>
      </c>
      <c r="E136" s="11" t="s">
        <v>33</v>
      </c>
      <c r="F136" s="11">
        <v>2</v>
      </c>
      <c r="G136" s="11">
        <v>1</v>
      </c>
      <c r="H136" s="11">
        <v>8</v>
      </c>
      <c r="I136" s="11">
        <v>21</v>
      </c>
      <c r="J136" s="19">
        <v>428.5</v>
      </c>
      <c r="K136" s="19">
        <v>0</v>
      </c>
      <c r="L136" s="19">
        <f t="shared" si="14"/>
        <v>428.5</v>
      </c>
      <c r="M136" s="19">
        <f>839-314</f>
        <v>525</v>
      </c>
      <c r="N136" s="16">
        <v>39.5</v>
      </c>
      <c r="O136" s="46">
        <v>392.5</v>
      </c>
      <c r="P136" s="40" t="s">
        <v>19</v>
      </c>
    </row>
    <row r="137" spans="1:16">
      <c r="A137" s="11">
        <v>48</v>
      </c>
      <c r="B137" s="11" t="s">
        <v>155</v>
      </c>
      <c r="C137" s="121">
        <v>1953</v>
      </c>
      <c r="D137" s="11" t="s">
        <v>67</v>
      </c>
      <c r="E137" s="11" t="s">
        <v>33</v>
      </c>
      <c r="F137" s="11">
        <v>3</v>
      </c>
      <c r="G137" s="11">
        <v>3</v>
      </c>
      <c r="H137" s="11">
        <v>18</v>
      </c>
      <c r="I137" s="11">
        <v>32</v>
      </c>
      <c r="J137" s="19">
        <v>1018.4</v>
      </c>
      <c r="K137" s="19">
        <f>342.3+410.6</f>
        <v>752.90000000000009</v>
      </c>
      <c r="L137" s="19">
        <f t="shared" si="14"/>
        <v>1771.3000000000002</v>
      </c>
      <c r="M137" s="19">
        <f>1412-806.57</f>
        <v>605.42999999999995</v>
      </c>
      <c r="N137" s="16">
        <v>180</v>
      </c>
      <c r="O137" s="46">
        <v>1008.2</v>
      </c>
      <c r="P137" s="40" t="s">
        <v>19</v>
      </c>
    </row>
    <row r="138" spans="1:16">
      <c r="A138" s="11">
        <v>49</v>
      </c>
      <c r="B138" s="11" t="s">
        <v>156</v>
      </c>
      <c r="C138" s="121">
        <v>1953</v>
      </c>
      <c r="D138" s="11" t="s">
        <v>67</v>
      </c>
      <c r="E138" s="11" t="s">
        <v>33</v>
      </c>
      <c r="F138" s="11">
        <v>2</v>
      </c>
      <c r="G138" s="11">
        <v>1</v>
      </c>
      <c r="H138" s="11">
        <v>9</v>
      </c>
      <c r="I138" s="11">
        <v>14</v>
      </c>
      <c r="J138" s="19">
        <v>438.8</v>
      </c>
      <c r="K138" s="19">
        <v>0</v>
      </c>
      <c r="L138" s="19">
        <f t="shared" si="14"/>
        <v>438.8</v>
      </c>
      <c r="M138" s="19">
        <f>936-308</f>
        <v>628</v>
      </c>
      <c r="N138" s="16">
        <v>38.6</v>
      </c>
      <c r="O138" s="46">
        <v>385</v>
      </c>
      <c r="P138" s="40" t="s">
        <v>19</v>
      </c>
    </row>
    <row r="139" spans="1:16">
      <c r="A139" s="11">
        <v>50</v>
      </c>
      <c r="B139" s="11" t="s">
        <v>157</v>
      </c>
      <c r="C139" s="121">
        <v>1955</v>
      </c>
      <c r="D139" s="11" t="s">
        <v>67</v>
      </c>
      <c r="E139" s="11" t="s">
        <v>33</v>
      </c>
      <c r="F139" s="11">
        <v>2</v>
      </c>
      <c r="G139" s="11">
        <v>1</v>
      </c>
      <c r="H139" s="11">
        <v>8</v>
      </c>
      <c r="I139" s="11">
        <v>13</v>
      </c>
      <c r="J139" s="19">
        <v>429.9</v>
      </c>
      <c r="K139" s="19">
        <v>0</v>
      </c>
      <c r="L139" s="19">
        <f t="shared" si="14"/>
        <v>429.9</v>
      </c>
      <c r="M139" s="19">
        <f>979-311</f>
        <v>668</v>
      </c>
      <c r="N139" s="16">
        <v>39.200000000000003</v>
      </c>
      <c r="O139" s="46">
        <v>388.8</v>
      </c>
      <c r="P139" s="40" t="s">
        <v>19</v>
      </c>
    </row>
    <row r="140" spans="1:16">
      <c r="A140" s="11">
        <v>51</v>
      </c>
      <c r="B140" s="11" t="s">
        <v>158</v>
      </c>
      <c r="C140" s="121">
        <v>1960</v>
      </c>
      <c r="D140" s="11" t="s">
        <v>26</v>
      </c>
      <c r="E140" s="11" t="s">
        <v>33</v>
      </c>
      <c r="F140" s="11">
        <v>4</v>
      </c>
      <c r="G140" s="11">
        <v>2</v>
      </c>
      <c r="H140" s="11">
        <v>28</v>
      </c>
      <c r="I140" s="11">
        <v>58</v>
      </c>
      <c r="J140" s="19">
        <v>1087.5</v>
      </c>
      <c r="K140" s="19">
        <f>154.5+125.5+59</f>
        <v>339</v>
      </c>
      <c r="L140" s="19">
        <f t="shared" si="14"/>
        <v>1426.5</v>
      </c>
      <c r="M140" s="19">
        <f>747-427</f>
        <v>320</v>
      </c>
      <c r="N140" s="16">
        <v>115.2</v>
      </c>
      <c r="O140" s="46">
        <v>533.79999999999995</v>
      </c>
      <c r="P140" s="40" t="s">
        <v>19</v>
      </c>
    </row>
    <row r="141" spans="1:16">
      <c r="A141" s="11">
        <v>52</v>
      </c>
      <c r="B141" s="11" t="s">
        <v>159</v>
      </c>
      <c r="C141" s="121">
        <v>1956</v>
      </c>
      <c r="D141" s="11" t="s">
        <v>67</v>
      </c>
      <c r="E141" s="11" t="s">
        <v>33</v>
      </c>
      <c r="F141" s="11">
        <v>4</v>
      </c>
      <c r="G141" s="11">
        <v>2</v>
      </c>
      <c r="H141" s="11">
        <v>12</v>
      </c>
      <c r="I141" s="11">
        <v>28</v>
      </c>
      <c r="J141" s="19">
        <v>738.7</v>
      </c>
      <c r="K141" s="19">
        <f>173.6+179.3</f>
        <v>352.9</v>
      </c>
      <c r="L141" s="19">
        <f t="shared" si="14"/>
        <v>1091.5999999999999</v>
      </c>
      <c r="M141" s="19">
        <f>1028-544</f>
        <v>484</v>
      </c>
      <c r="N141" s="16">
        <v>137.4</v>
      </c>
      <c r="O141" s="46">
        <v>680</v>
      </c>
      <c r="P141" s="40" t="s">
        <v>19</v>
      </c>
    </row>
    <row r="142" spans="1:16">
      <c r="A142" s="11">
        <v>53</v>
      </c>
      <c r="B142" s="11" t="s">
        <v>160</v>
      </c>
      <c r="C142" s="121">
        <v>1958</v>
      </c>
      <c r="D142" s="11" t="s">
        <v>65</v>
      </c>
      <c r="E142" s="11" t="s">
        <v>33</v>
      </c>
      <c r="F142" s="11">
        <v>3</v>
      </c>
      <c r="G142" s="11">
        <v>3</v>
      </c>
      <c r="H142" s="11">
        <v>38</v>
      </c>
      <c r="I142" s="11">
        <v>66</v>
      </c>
      <c r="J142" s="19">
        <v>1566.9</v>
      </c>
      <c r="K142" s="19">
        <v>0</v>
      </c>
      <c r="L142" s="19">
        <f>K142+J142</f>
        <v>1566.9</v>
      </c>
      <c r="M142" s="19">
        <f>1379-700</f>
        <v>679</v>
      </c>
      <c r="N142" s="16">
        <v>116.9</v>
      </c>
      <c r="O142" s="46">
        <v>875</v>
      </c>
      <c r="P142" s="40" t="s">
        <v>19</v>
      </c>
    </row>
    <row r="143" spans="1:16">
      <c r="A143" s="11">
        <v>54</v>
      </c>
      <c r="B143" s="11" t="s">
        <v>161</v>
      </c>
      <c r="C143" s="121">
        <v>1959</v>
      </c>
      <c r="D143" s="11" t="s">
        <v>17</v>
      </c>
      <c r="E143" s="11" t="s">
        <v>33</v>
      </c>
      <c r="F143" s="11">
        <v>4</v>
      </c>
      <c r="G143" s="11">
        <v>2</v>
      </c>
      <c r="H143" s="11">
        <v>32</v>
      </c>
      <c r="I143" s="11">
        <v>66</v>
      </c>
      <c r="J143" s="19">
        <v>1254.2</v>
      </c>
      <c r="K143" s="19">
        <v>0</v>
      </c>
      <c r="L143" s="19">
        <f>K143+J143</f>
        <v>1254.2</v>
      </c>
      <c r="M143" s="19">
        <f>1160-405</f>
        <v>755</v>
      </c>
      <c r="N143" s="16">
        <v>126</v>
      </c>
      <c r="O143" s="46">
        <v>506.25</v>
      </c>
      <c r="P143" s="40" t="s">
        <v>19</v>
      </c>
    </row>
    <row r="144" spans="1:16">
      <c r="A144" s="11">
        <v>55</v>
      </c>
      <c r="B144" s="11" t="s">
        <v>162</v>
      </c>
      <c r="C144" s="121">
        <v>1957</v>
      </c>
      <c r="D144" s="11" t="s">
        <v>67</v>
      </c>
      <c r="E144" s="11" t="s">
        <v>33</v>
      </c>
      <c r="F144" s="11">
        <v>3</v>
      </c>
      <c r="G144" s="11">
        <v>3</v>
      </c>
      <c r="H144" s="11">
        <v>18</v>
      </c>
      <c r="I144" s="11">
        <v>30</v>
      </c>
      <c r="J144" s="19">
        <v>934.8</v>
      </c>
      <c r="K144" s="19">
        <f>494.9+43.9</f>
        <v>538.79999999999995</v>
      </c>
      <c r="L144" s="19">
        <f t="shared" ref="L144:L152" si="15">J144+K144</f>
        <v>1473.6</v>
      </c>
      <c r="M144" s="19">
        <f>1660-678.02</f>
        <v>981.98</v>
      </c>
      <c r="N144" s="16">
        <v>170.2</v>
      </c>
      <c r="O144" s="46">
        <v>847.52499999999998</v>
      </c>
      <c r="P144" s="40" t="s">
        <v>19</v>
      </c>
    </row>
    <row r="145" spans="1:16">
      <c r="A145" s="11">
        <v>56</v>
      </c>
      <c r="B145" s="11" t="s">
        <v>163</v>
      </c>
      <c r="C145" s="121">
        <v>1957</v>
      </c>
      <c r="D145" s="11" t="s">
        <v>67</v>
      </c>
      <c r="E145" s="11" t="s">
        <v>33</v>
      </c>
      <c r="F145" s="11">
        <v>3</v>
      </c>
      <c r="G145" s="11">
        <v>3</v>
      </c>
      <c r="H145" s="11">
        <v>24</v>
      </c>
      <c r="I145" s="11">
        <v>41</v>
      </c>
      <c r="J145" s="19">
        <v>1276.5999999999999</v>
      </c>
      <c r="K145" s="19">
        <v>76.400000000000006</v>
      </c>
      <c r="L145" s="19">
        <f t="shared" si="15"/>
        <v>1353</v>
      </c>
      <c r="M145" s="19">
        <f>1266-661</f>
        <v>605</v>
      </c>
      <c r="N145" s="16">
        <v>123.9</v>
      </c>
      <c r="O145" s="46">
        <v>826.25</v>
      </c>
      <c r="P145" s="40" t="s">
        <v>19</v>
      </c>
    </row>
    <row r="146" spans="1:16">
      <c r="A146" s="11">
        <v>57</v>
      </c>
      <c r="B146" s="11" t="s">
        <v>164</v>
      </c>
      <c r="C146" s="121">
        <v>1952</v>
      </c>
      <c r="D146" s="11" t="s">
        <v>67</v>
      </c>
      <c r="E146" s="11" t="s">
        <v>33</v>
      </c>
      <c r="F146" s="11">
        <v>2</v>
      </c>
      <c r="G146" s="11">
        <v>2</v>
      </c>
      <c r="H146" s="11">
        <v>12</v>
      </c>
      <c r="I146" s="11">
        <v>20</v>
      </c>
      <c r="J146" s="19">
        <v>648.29999999999995</v>
      </c>
      <c r="K146" s="19">
        <v>0</v>
      </c>
      <c r="L146" s="19">
        <f t="shared" si="15"/>
        <v>648.29999999999995</v>
      </c>
      <c r="M146" s="19">
        <f>957-317</f>
        <v>640</v>
      </c>
      <c r="N146" s="16">
        <v>63.3</v>
      </c>
      <c r="O146" s="46">
        <v>396.25</v>
      </c>
      <c r="P146" s="40" t="s">
        <v>19</v>
      </c>
    </row>
    <row r="147" spans="1:16">
      <c r="A147" s="11">
        <v>28</v>
      </c>
      <c r="B147" s="11" t="s">
        <v>165</v>
      </c>
      <c r="C147" s="121">
        <v>1951</v>
      </c>
      <c r="D147" s="11" t="s">
        <v>67</v>
      </c>
      <c r="E147" s="11" t="s">
        <v>33</v>
      </c>
      <c r="F147" s="11">
        <v>2</v>
      </c>
      <c r="G147" s="11">
        <v>2</v>
      </c>
      <c r="H147" s="11">
        <v>12</v>
      </c>
      <c r="I147" s="11">
        <v>32</v>
      </c>
      <c r="J147" s="19">
        <v>732.8</v>
      </c>
      <c r="K147" s="19">
        <v>0</v>
      </c>
      <c r="L147" s="19">
        <f t="shared" si="15"/>
        <v>732.8</v>
      </c>
      <c r="M147" s="19">
        <f>1090-533</f>
        <v>557</v>
      </c>
      <c r="N147" s="16">
        <v>67.400000000000006</v>
      </c>
      <c r="O147" s="46">
        <v>666.25</v>
      </c>
      <c r="P147" s="40" t="s">
        <v>19</v>
      </c>
    </row>
    <row r="148" spans="1:16">
      <c r="A148" s="11">
        <v>59</v>
      </c>
      <c r="B148" s="11" t="s">
        <v>166</v>
      </c>
      <c r="C148" s="121">
        <v>1965</v>
      </c>
      <c r="D148" s="11" t="s">
        <v>22</v>
      </c>
      <c r="E148" s="11" t="s">
        <v>33</v>
      </c>
      <c r="F148" s="11">
        <v>5</v>
      </c>
      <c r="G148" s="11">
        <v>4</v>
      </c>
      <c r="H148" s="11">
        <v>64</v>
      </c>
      <c r="I148" s="11">
        <v>108</v>
      </c>
      <c r="J148" s="19">
        <v>2605.2399999999998</v>
      </c>
      <c r="K148" s="19">
        <v>1086.5</v>
      </c>
      <c r="L148" s="19">
        <f t="shared" si="15"/>
        <v>3691.74</v>
      </c>
      <c r="M148" s="19">
        <f>1886-910.05</f>
        <v>975.95</v>
      </c>
      <c r="N148" s="16">
        <v>246.3</v>
      </c>
      <c r="O148" s="46">
        <v>1137.5625</v>
      </c>
      <c r="P148" s="40" t="s">
        <v>19</v>
      </c>
    </row>
    <row r="149" spans="1:16">
      <c r="A149" s="11">
        <v>60</v>
      </c>
      <c r="B149" s="11" t="s">
        <v>167</v>
      </c>
      <c r="C149" s="121">
        <v>1966</v>
      </c>
      <c r="D149" s="11" t="s">
        <v>22</v>
      </c>
      <c r="E149" s="11" t="s">
        <v>33</v>
      </c>
      <c r="F149" s="11">
        <v>5</v>
      </c>
      <c r="G149" s="11">
        <v>2</v>
      </c>
      <c r="H149" s="11">
        <v>40</v>
      </c>
      <c r="I149" s="11">
        <v>55</v>
      </c>
      <c r="J149" s="19">
        <v>1626.2</v>
      </c>
      <c r="K149" s="19">
        <v>0</v>
      </c>
      <c r="L149" s="19">
        <f t="shared" si="15"/>
        <v>1626.2</v>
      </c>
      <c r="M149" s="19">
        <f>1168-436</f>
        <v>732</v>
      </c>
      <c r="N149" s="16">
        <v>124.2</v>
      </c>
      <c r="O149" s="46">
        <v>545</v>
      </c>
      <c r="P149" s="40" t="s">
        <v>19</v>
      </c>
    </row>
    <row r="150" spans="1:16">
      <c r="A150" s="11">
        <v>61</v>
      </c>
      <c r="B150" s="11" t="s">
        <v>168</v>
      </c>
      <c r="C150" s="121">
        <v>1955</v>
      </c>
      <c r="D150" s="11" t="s">
        <v>67</v>
      </c>
      <c r="E150" s="11" t="s">
        <v>33</v>
      </c>
      <c r="F150" s="11">
        <v>3</v>
      </c>
      <c r="G150" s="11">
        <v>2</v>
      </c>
      <c r="H150" s="11">
        <v>18</v>
      </c>
      <c r="I150" s="11">
        <v>43</v>
      </c>
      <c r="J150" s="19">
        <v>1061</v>
      </c>
      <c r="K150" s="19">
        <v>0</v>
      </c>
      <c r="L150" s="19">
        <f t="shared" si="15"/>
        <v>1061</v>
      </c>
      <c r="M150" s="19">
        <f>1098-530</f>
        <v>568</v>
      </c>
      <c r="N150" s="16">
        <v>99.5</v>
      </c>
      <c r="O150" s="46">
        <v>662.5</v>
      </c>
      <c r="P150" s="40" t="s">
        <v>19</v>
      </c>
    </row>
    <row r="151" spans="1:16">
      <c r="A151" s="11">
        <v>62</v>
      </c>
      <c r="B151" s="11" t="s">
        <v>169</v>
      </c>
      <c r="C151" s="121">
        <v>1955</v>
      </c>
      <c r="D151" s="11" t="s">
        <v>67</v>
      </c>
      <c r="E151" s="11" t="s">
        <v>33</v>
      </c>
      <c r="F151" s="11">
        <v>3</v>
      </c>
      <c r="G151" s="11">
        <v>2</v>
      </c>
      <c r="H151" s="11">
        <v>18</v>
      </c>
      <c r="I151" s="11">
        <v>35</v>
      </c>
      <c r="J151" s="19">
        <v>1053.3</v>
      </c>
      <c r="K151" s="19">
        <v>0</v>
      </c>
      <c r="L151" s="19">
        <f t="shared" si="15"/>
        <v>1053.3</v>
      </c>
      <c r="M151" s="19">
        <f>1187-525</f>
        <v>662</v>
      </c>
      <c r="N151" s="16">
        <v>99</v>
      </c>
      <c r="O151" s="46">
        <v>656.25</v>
      </c>
      <c r="P151" s="40" t="s">
        <v>19</v>
      </c>
    </row>
    <row r="152" spans="1:16">
      <c r="A152" s="11">
        <v>63</v>
      </c>
      <c r="B152" s="11" t="s">
        <v>170</v>
      </c>
      <c r="C152" s="121">
        <v>1955</v>
      </c>
      <c r="D152" s="11" t="s">
        <v>67</v>
      </c>
      <c r="E152" s="11" t="s">
        <v>33</v>
      </c>
      <c r="F152" s="11">
        <v>3</v>
      </c>
      <c r="G152" s="11">
        <v>2</v>
      </c>
      <c r="H152" s="11">
        <v>18</v>
      </c>
      <c r="I152" s="11">
        <v>39</v>
      </c>
      <c r="J152" s="19">
        <v>1063.22</v>
      </c>
      <c r="K152" s="19">
        <v>0</v>
      </c>
      <c r="L152" s="19">
        <f t="shared" si="15"/>
        <v>1063.22</v>
      </c>
      <c r="M152" s="19">
        <f>992-536</f>
        <v>456</v>
      </c>
      <c r="N152" s="16">
        <v>96.5</v>
      </c>
      <c r="O152" s="46">
        <v>670</v>
      </c>
      <c r="P152" s="40" t="s">
        <v>19</v>
      </c>
    </row>
    <row r="153" spans="1:16">
      <c r="A153" s="11">
        <v>64</v>
      </c>
      <c r="B153" s="11" t="s">
        <v>171</v>
      </c>
      <c r="C153" s="121">
        <v>1959</v>
      </c>
      <c r="D153" s="11" t="s">
        <v>65</v>
      </c>
      <c r="E153" s="11" t="s">
        <v>33</v>
      </c>
      <c r="F153" s="11">
        <v>5</v>
      </c>
      <c r="G153" s="11">
        <v>2</v>
      </c>
      <c r="H153" s="11">
        <v>40</v>
      </c>
      <c r="I153" s="11">
        <v>77</v>
      </c>
      <c r="J153" s="19">
        <v>1602.5</v>
      </c>
      <c r="K153" s="19">
        <v>0</v>
      </c>
      <c r="L153" s="19">
        <f t="shared" ref="L153:L187" si="16">K153+J153</f>
        <v>1602.5</v>
      </c>
      <c r="M153" s="19">
        <f>1050-447.13</f>
        <v>602.87</v>
      </c>
      <c r="N153" s="16">
        <v>128.4</v>
      </c>
      <c r="O153" s="46">
        <v>558.91250000000002</v>
      </c>
      <c r="P153" s="40" t="s">
        <v>19</v>
      </c>
    </row>
    <row r="154" spans="1:16">
      <c r="A154" s="11">
        <v>65</v>
      </c>
      <c r="B154" s="11" t="s">
        <v>172</v>
      </c>
      <c r="C154" s="121">
        <v>1959</v>
      </c>
      <c r="D154" s="11" t="s">
        <v>42</v>
      </c>
      <c r="E154" s="11" t="s">
        <v>33</v>
      </c>
      <c r="F154" s="11">
        <v>5</v>
      </c>
      <c r="G154" s="11">
        <v>2</v>
      </c>
      <c r="H154" s="11">
        <v>41</v>
      </c>
      <c r="I154" s="11">
        <v>66</v>
      </c>
      <c r="J154" s="19">
        <v>1597</v>
      </c>
      <c r="K154" s="19">
        <v>0</v>
      </c>
      <c r="L154" s="19">
        <f t="shared" si="16"/>
        <v>1597</v>
      </c>
      <c r="M154" s="19">
        <f>1332-446.66</f>
        <v>885.33999999999992</v>
      </c>
      <c r="N154" s="16">
        <v>121.8</v>
      </c>
      <c r="O154" s="46">
        <v>558.32500000000005</v>
      </c>
      <c r="P154" s="40" t="s">
        <v>19</v>
      </c>
    </row>
    <row r="155" spans="1:16">
      <c r="A155" s="11">
        <v>66</v>
      </c>
      <c r="B155" s="11" t="s">
        <v>173</v>
      </c>
      <c r="C155" s="121">
        <v>1959</v>
      </c>
      <c r="D155" s="11" t="s">
        <v>65</v>
      </c>
      <c r="E155" s="11" t="s">
        <v>33</v>
      </c>
      <c r="F155" s="11">
        <v>5</v>
      </c>
      <c r="G155" s="11">
        <v>2</v>
      </c>
      <c r="H155" s="11">
        <v>39</v>
      </c>
      <c r="I155" s="11">
        <v>58</v>
      </c>
      <c r="J155" s="19">
        <v>1555</v>
      </c>
      <c r="K155" s="19">
        <f>149.2+72.2</f>
        <v>221.39999999999998</v>
      </c>
      <c r="L155" s="19">
        <f t="shared" si="16"/>
        <v>1776.4</v>
      </c>
      <c r="M155" s="19">
        <f>1463-448.41</f>
        <v>1014.5899999999999</v>
      </c>
      <c r="N155" s="16">
        <v>123</v>
      </c>
      <c r="O155" s="46">
        <v>560.51250000000005</v>
      </c>
      <c r="P155" s="40" t="s">
        <v>19</v>
      </c>
    </row>
    <row r="156" spans="1:16">
      <c r="A156" s="11">
        <v>67</v>
      </c>
      <c r="B156" s="11" t="s">
        <v>174</v>
      </c>
      <c r="C156" s="121">
        <v>1959</v>
      </c>
      <c r="D156" s="11" t="s">
        <v>65</v>
      </c>
      <c r="E156" s="11" t="s">
        <v>33</v>
      </c>
      <c r="F156" s="11">
        <v>5</v>
      </c>
      <c r="G156" s="11">
        <v>4</v>
      </c>
      <c r="H156" s="11">
        <v>63</v>
      </c>
      <c r="I156" s="11">
        <v>136</v>
      </c>
      <c r="J156" s="19">
        <v>4179.3999999999996</v>
      </c>
      <c r="K156" s="19">
        <f>192.5+39.3+252.5</f>
        <v>484.3</v>
      </c>
      <c r="L156" s="19">
        <f t="shared" si="16"/>
        <v>4663.7</v>
      </c>
      <c r="M156" s="19">
        <f>2286-1355.59</f>
        <v>930.41000000000008</v>
      </c>
      <c r="N156" s="16">
        <v>472</v>
      </c>
      <c r="O156" s="46">
        <v>1694.4875</v>
      </c>
      <c r="P156" s="40" t="s">
        <v>19</v>
      </c>
    </row>
    <row r="157" spans="1:16">
      <c r="A157" s="11">
        <v>68</v>
      </c>
      <c r="B157" s="11" t="s">
        <v>175</v>
      </c>
      <c r="C157" s="121">
        <v>1958</v>
      </c>
      <c r="D157" s="11" t="s">
        <v>42</v>
      </c>
      <c r="E157" s="11" t="s">
        <v>33</v>
      </c>
      <c r="F157" s="11">
        <v>4</v>
      </c>
      <c r="G157" s="11">
        <v>3</v>
      </c>
      <c r="H157" s="11">
        <v>46</v>
      </c>
      <c r="I157" s="11">
        <v>83</v>
      </c>
      <c r="J157" s="19">
        <v>1897</v>
      </c>
      <c r="K157" s="19">
        <f>216.7+141.8+19.4+84.5</f>
        <v>462.4</v>
      </c>
      <c r="L157" s="19">
        <f t="shared" si="16"/>
        <v>2359.4</v>
      </c>
      <c r="M157" s="19">
        <f>1335-717.24</f>
        <v>617.76</v>
      </c>
      <c r="N157" s="16">
        <v>144.30000000000001</v>
      </c>
      <c r="O157" s="46">
        <v>896.55</v>
      </c>
      <c r="P157" s="40" t="s">
        <v>19</v>
      </c>
    </row>
    <row r="158" spans="1:16">
      <c r="A158" s="11">
        <v>69</v>
      </c>
      <c r="B158" s="11" t="s">
        <v>176</v>
      </c>
      <c r="C158" s="121">
        <v>1960</v>
      </c>
      <c r="D158" s="11" t="s">
        <v>42</v>
      </c>
      <c r="E158" s="11" t="s">
        <v>33</v>
      </c>
      <c r="F158" s="11">
        <v>4</v>
      </c>
      <c r="G158" s="11">
        <v>4</v>
      </c>
      <c r="H158" s="11">
        <v>31</v>
      </c>
      <c r="I158" s="11">
        <v>47</v>
      </c>
      <c r="J158" s="19">
        <v>1266.3</v>
      </c>
      <c r="K158" s="19">
        <v>115.5</v>
      </c>
      <c r="L158" s="19">
        <f t="shared" si="16"/>
        <v>1381.8</v>
      </c>
      <c r="M158" s="19">
        <f>866-450.17</f>
        <v>415.83</v>
      </c>
      <c r="N158" s="16">
        <v>99.3</v>
      </c>
      <c r="O158" s="46">
        <v>562.71249999999998</v>
      </c>
      <c r="P158" s="40" t="s">
        <v>19</v>
      </c>
    </row>
    <row r="159" spans="1:16">
      <c r="A159" s="11">
        <v>70</v>
      </c>
      <c r="B159" s="11" t="s">
        <v>177</v>
      </c>
      <c r="C159" s="121">
        <v>1967</v>
      </c>
      <c r="D159" s="11" t="s">
        <v>17</v>
      </c>
      <c r="E159" s="11" t="s">
        <v>33</v>
      </c>
      <c r="F159" s="11">
        <v>5</v>
      </c>
      <c r="G159" s="11">
        <v>4</v>
      </c>
      <c r="H159" s="11">
        <v>70</v>
      </c>
      <c r="I159" s="11">
        <v>154</v>
      </c>
      <c r="J159" s="19">
        <v>3425.5</v>
      </c>
      <c r="K159" s="19">
        <v>0</v>
      </c>
      <c r="L159" s="19">
        <f t="shared" si="16"/>
        <v>3425.5</v>
      </c>
      <c r="M159" s="19">
        <f>1898-955.85</f>
        <v>942.15</v>
      </c>
      <c r="N159" s="16">
        <v>277</v>
      </c>
      <c r="O159" s="46">
        <v>1194.8125</v>
      </c>
      <c r="P159" s="40" t="s">
        <v>19</v>
      </c>
    </row>
    <row r="160" spans="1:16">
      <c r="A160" s="11">
        <v>71</v>
      </c>
      <c r="B160" s="11" t="s">
        <v>178</v>
      </c>
      <c r="C160" s="121">
        <v>1957</v>
      </c>
      <c r="D160" s="11" t="s">
        <v>65</v>
      </c>
      <c r="E160" s="11" t="s">
        <v>33</v>
      </c>
      <c r="F160" s="11">
        <v>4</v>
      </c>
      <c r="G160" s="11">
        <v>3</v>
      </c>
      <c r="H160" s="11">
        <v>42</v>
      </c>
      <c r="I160" s="11">
        <v>77</v>
      </c>
      <c r="J160" s="19">
        <v>2980.9</v>
      </c>
      <c r="K160" s="19">
        <f>240.2+369.7</f>
        <v>609.9</v>
      </c>
      <c r="L160" s="19">
        <f t="shared" si="16"/>
        <v>3590.8</v>
      </c>
      <c r="M160" s="19">
        <f>1844-1123.3</f>
        <v>720.7</v>
      </c>
      <c r="N160" s="16">
        <v>328.7</v>
      </c>
      <c r="O160" s="46">
        <v>1404.125</v>
      </c>
      <c r="P160" s="40" t="s">
        <v>19</v>
      </c>
    </row>
    <row r="161" spans="1:16">
      <c r="A161" s="11">
        <v>72</v>
      </c>
      <c r="B161" s="11" t="s">
        <v>179</v>
      </c>
      <c r="C161" s="121">
        <v>1958</v>
      </c>
      <c r="D161" s="11" t="s">
        <v>42</v>
      </c>
      <c r="E161" s="11" t="s">
        <v>33</v>
      </c>
      <c r="F161" s="11">
        <v>5</v>
      </c>
      <c r="G161" s="11">
        <v>3</v>
      </c>
      <c r="H161" s="11">
        <v>60</v>
      </c>
      <c r="I161" s="11">
        <v>99</v>
      </c>
      <c r="J161" s="19">
        <v>3817.1</v>
      </c>
      <c r="K161" s="19">
        <f>167+285.4</f>
        <v>452.4</v>
      </c>
      <c r="L161" s="19">
        <f t="shared" si="16"/>
        <v>4269.5</v>
      </c>
      <c r="M161" s="19">
        <f>2346-1116.77</f>
        <v>1229.23</v>
      </c>
      <c r="N161" s="16">
        <v>388.2</v>
      </c>
      <c r="O161" s="46">
        <v>1395.9625000000001</v>
      </c>
      <c r="P161" s="40" t="s">
        <v>19</v>
      </c>
    </row>
    <row r="162" spans="1:16">
      <c r="A162" s="11">
        <v>73</v>
      </c>
      <c r="B162" s="11" t="s">
        <v>180</v>
      </c>
      <c r="C162" s="121">
        <v>1958</v>
      </c>
      <c r="D162" s="11" t="s">
        <v>65</v>
      </c>
      <c r="E162" s="11" t="s">
        <v>33</v>
      </c>
      <c r="F162" s="11">
        <v>5</v>
      </c>
      <c r="G162" s="11">
        <v>4</v>
      </c>
      <c r="H162" s="11">
        <v>71</v>
      </c>
      <c r="I162" s="11">
        <v>133</v>
      </c>
      <c r="J162" s="19">
        <v>4202.5</v>
      </c>
      <c r="K162" s="19">
        <v>457.2</v>
      </c>
      <c r="L162" s="19">
        <f t="shared" si="16"/>
        <v>4659.7</v>
      </c>
      <c r="M162" s="19">
        <f>2632-1314.24</f>
        <v>1317.76</v>
      </c>
      <c r="N162" s="16">
        <v>322.10000000000002</v>
      </c>
      <c r="O162" s="46">
        <v>1642.8</v>
      </c>
      <c r="P162" s="40" t="s">
        <v>19</v>
      </c>
    </row>
    <row r="163" spans="1:16">
      <c r="A163" s="11">
        <v>74</v>
      </c>
      <c r="B163" s="11" t="s">
        <v>181</v>
      </c>
      <c r="C163" s="121">
        <v>1958</v>
      </c>
      <c r="D163" s="11" t="s">
        <v>42</v>
      </c>
      <c r="E163" s="11" t="s">
        <v>33</v>
      </c>
      <c r="F163" s="11">
        <v>5</v>
      </c>
      <c r="G163" s="11">
        <v>4</v>
      </c>
      <c r="H163" s="11">
        <v>62</v>
      </c>
      <c r="I163" s="11">
        <v>132</v>
      </c>
      <c r="J163" s="19">
        <v>4092.4</v>
      </c>
      <c r="K163" s="19">
        <v>252.6</v>
      </c>
      <c r="L163" s="19">
        <f t="shared" si="16"/>
        <v>4345</v>
      </c>
      <c r="M163" s="19">
        <f>2399-1339.3</f>
        <v>1059.7</v>
      </c>
      <c r="N163" s="16">
        <v>449.1</v>
      </c>
      <c r="O163" s="46">
        <v>1674.125</v>
      </c>
      <c r="P163" s="40" t="s">
        <v>19</v>
      </c>
    </row>
    <row r="164" spans="1:16">
      <c r="A164" s="11">
        <v>75</v>
      </c>
      <c r="B164" s="11" t="s">
        <v>182</v>
      </c>
      <c r="C164" s="121">
        <v>1972</v>
      </c>
      <c r="D164" s="11" t="s">
        <v>42</v>
      </c>
      <c r="E164" s="11" t="s">
        <v>33</v>
      </c>
      <c r="F164" s="11">
        <v>5</v>
      </c>
      <c r="G164" s="11">
        <v>6</v>
      </c>
      <c r="H164" s="11">
        <v>94</v>
      </c>
      <c r="I164" s="11">
        <v>205</v>
      </c>
      <c r="J164" s="19">
        <v>4404.8999999999996</v>
      </c>
      <c r="K164" s="19">
        <v>82.5</v>
      </c>
      <c r="L164" s="19">
        <f t="shared" si="16"/>
        <v>4487.3999999999996</v>
      </c>
      <c r="M164" s="19">
        <f>2573-1295.37</f>
        <v>1277.6300000000001</v>
      </c>
      <c r="N164" s="16">
        <v>470.5</v>
      </c>
      <c r="O164" s="46">
        <v>1619.2125000000001</v>
      </c>
      <c r="P164" s="40" t="s">
        <v>19</v>
      </c>
    </row>
    <row r="165" spans="1:16">
      <c r="A165" s="11">
        <v>76</v>
      </c>
      <c r="B165" s="11" t="s">
        <v>183</v>
      </c>
      <c r="C165" s="121">
        <v>1973</v>
      </c>
      <c r="D165" s="11" t="s">
        <v>42</v>
      </c>
      <c r="E165" s="11" t="s">
        <v>33</v>
      </c>
      <c r="F165" s="11">
        <v>5</v>
      </c>
      <c r="G165" s="11">
        <v>6</v>
      </c>
      <c r="H165" s="11">
        <v>98</v>
      </c>
      <c r="I165" s="11">
        <v>192</v>
      </c>
      <c r="J165" s="19">
        <v>4394.1000000000004</v>
      </c>
      <c r="K165" s="19">
        <v>85.1</v>
      </c>
      <c r="L165" s="19">
        <f t="shared" si="16"/>
        <v>4479.2000000000007</v>
      </c>
      <c r="M165" s="19">
        <f>2794-1255</f>
        <v>1539</v>
      </c>
      <c r="N165" s="16">
        <v>460</v>
      </c>
      <c r="O165" s="46">
        <v>1568.75</v>
      </c>
      <c r="P165" s="40" t="s">
        <v>19</v>
      </c>
    </row>
    <row r="166" spans="1:16">
      <c r="A166" s="11">
        <v>77</v>
      </c>
      <c r="B166" s="11" t="s">
        <v>184</v>
      </c>
      <c r="C166" s="121">
        <v>1971</v>
      </c>
      <c r="D166" s="11" t="s">
        <v>42</v>
      </c>
      <c r="E166" s="11" t="s">
        <v>33</v>
      </c>
      <c r="F166" s="11">
        <v>5</v>
      </c>
      <c r="G166" s="11">
        <v>4</v>
      </c>
      <c r="H166" s="11">
        <v>65</v>
      </c>
      <c r="I166" s="11">
        <v>132</v>
      </c>
      <c r="J166" s="19">
        <v>3107.2</v>
      </c>
      <c r="K166" s="19">
        <v>62.1</v>
      </c>
      <c r="L166" s="19">
        <f t="shared" si="16"/>
        <v>3169.2999999999997</v>
      </c>
      <c r="M166" s="19">
        <f>1744-960</f>
        <v>784</v>
      </c>
      <c r="N166" s="16">
        <v>301</v>
      </c>
      <c r="O166" s="46">
        <v>1200</v>
      </c>
      <c r="P166" s="40" t="s">
        <v>19</v>
      </c>
    </row>
    <row r="167" spans="1:16">
      <c r="A167" s="11">
        <v>78</v>
      </c>
      <c r="B167" s="11" t="s">
        <v>185</v>
      </c>
      <c r="C167" s="121">
        <v>1976</v>
      </c>
      <c r="D167" s="11" t="s">
        <v>42</v>
      </c>
      <c r="E167" s="11" t="s">
        <v>33</v>
      </c>
      <c r="F167" s="11">
        <v>5</v>
      </c>
      <c r="G167" s="11">
        <v>4</v>
      </c>
      <c r="H167" s="11">
        <v>65</v>
      </c>
      <c r="I167" s="11">
        <v>162</v>
      </c>
      <c r="J167" s="19">
        <v>3155.5</v>
      </c>
      <c r="K167" s="19">
        <v>206.5</v>
      </c>
      <c r="L167" s="19">
        <f t="shared" si="16"/>
        <v>3362</v>
      </c>
      <c r="M167" s="19">
        <f>1848-935.67</f>
        <v>912.33</v>
      </c>
      <c r="N167" s="16">
        <v>278</v>
      </c>
      <c r="O167" s="46">
        <v>1169.5875000000001</v>
      </c>
      <c r="P167" s="40" t="s">
        <v>19</v>
      </c>
    </row>
    <row r="168" spans="1:16">
      <c r="A168" s="11">
        <v>79</v>
      </c>
      <c r="B168" s="11" t="s">
        <v>186</v>
      </c>
      <c r="C168" s="121">
        <v>1959</v>
      </c>
      <c r="D168" s="11" t="s">
        <v>26</v>
      </c>
      <c r="E168" s="11" t="s">
        <v>33</v>
      </c>
      <c r="F168" s="11">
        <v>4</v>
      </c>
      <c r="G168" s="11">
        <v>2</v>
      </c>
      <c r="H168" s="11">
        <v>32</v>
      </c>
      <c r="I168" s="11">
        <v>53</v>
      </c>
      <c r="J168" s="19">
        <v>1224.8900000000001</v>
      </c>
      <c r="K168" s="19">
        <v>0</v>
      </c>
      <c r="L168" s="19">
        <f t="shared" si="16"/>
        <v>1224.8900000000001</v>
      </c>
      <c r="M168" s="19">
        <f>862-404.63</f>
        <v>457.37</v>
      </c>
      <c r="N168" s="16">
        <v>114.8</v>
      </c>
      <c r="O168" s="46">
        <v>505.78750000000002</v>
      </c>
      <c r="P168" s="40" t="s">
        <v>19</v>
      </c>
    </row>
    <row r="169" spans="1:16">
      <c r="A169" s="11">
        <v>80</v>
      </c>
      <c r="B169" s="11" t="s">
        <v>187</v>
      </c>
      <c r="C169" s="121">
        <v>1960</v>
      </c>
      <c r="D169" s="11" t="s">
        <v>42</v>
      </c>
      <c r="E169" s="11" t="s">
        <v>33</v>
      </c>
      <c r="F169" s="11">
        <v>4</v>
      </c>
      <c r="G169" s="11">
        <v>2</v>
      </c>
      <c r="H169" s="11">
        <v>30</v>
      </c>
      <c r="I169" s="11">
        <v>62</v>
      </c>
      <c r="J169" s="19">
        <v>1209.2</v>
      </c>
      <c r="K169" s="19">
        <f>179.2+94.6</f>
        <v>273.79999999999995</v>
      </c>
      <c r="L169" s="19">
        <f t="shared" si="16"/>
        <v>1483</v>
      </c>
      <c r="M169" s="19">
        <f>899-443.08</f>
        <v>455.92</v>
      </c>
      <c r="N169" s="16">
        <v>93</v>
      </c>
      <c r="O169" s="46">
        <v>553.85</v>
      </c>
      <c r="P169" s="40" t="s">
        <v>19</v>
      </c>
    </row>
    <row r="170" spans="1:16">
      <c r="A170" s="11">
        <v>81</v>
      </c>
      <c r="B170" s="11" t="s">
        <v>188</v>
      </c>
      <c r="C170" s="121">
        <v>1961</v>
      </c>
      <c r="D170" s="11" t="s">
        <v>42</v>
      </c>
      <c r="E170" s="11" t="s">
        <v>33</v>
      </c>
      <c r="F170" s="11">
        <v>4</v>
      </c>
      <c r="G170" s="11">
        <v>2</v>
      </c>
      <c r="H170" s="11">
        <v>32</v>
      </c>
      <c r="I170" s="11">
        <v>56</v>
      </c>
      <c r="J170" s="19">
        <v>1286.5999999999999</v>
      </c>
      <c r="K170" s="19">
        <v>229.8</v>
      </c>
      <c r="L170" s="19">
        <f t="shared" si="16"/>
        <v>1516.3999999999999</v>
      </c>
      <c r="M170" s="19">
        <f>894-472.47</f>
        <v>421.53</v>
      </c>
      <c r="N170" s="16">
        <v>98.4</v>
      </c>
      <c r="O170" s="46">
        <v>590.58749999999998</v>
      </c>
      <c r="P170" s="40" t="s">
        <v>19</v>
      </c>
    </row>
    <row r="171" spans="1:16">
      <c r="A171" s="11">
        <v>82</v>
      </c>
      <c r="B171" s="11" t="s">
        <v>189</v>
      </c>
      <c r="C171" s="121">
        <v>1959</v>
      </c>
      <c r="D171" s="11" t="s">
        <v>42</v>
      </c>
      <c r="E171" s="11" t="s">
        <v>33</v>
      </c>
      <c r="F171" s="11">
        <v>4</v>
      </c>
      <c r="G171" s="11">
        <v>2</v>
      </c>
      <c r="H171" s="11">
        <v>32</v>
      </c>
      <c r="I171" s="11">
        <v>48</v>
      </c>
      <c r="J171" s="19">
        <v>1272.2</v>
      </c>
      <c r="K171" s="19">
        <v>71.599999999999994</v>
      </c>
      <c r="L171" s="19">
        <f t="shared" si="16"/>
        <v>1343.8</v>
      </c>
      <c r="M171" s="19">
        <f>752-462.72</f>
        <v>289.27999999999997</v>
      </c>
      <c r="N171" s="16">
        <v>97.1</v>
      </c>
      <c r="O171" s="46">
        <v>578.4</v>
      </c>
      <c r="P171" s="40" t="s">
        <v>19</v>
      </c>
    </row>
    <row r="172" spans="1:16">
      <c r="A172" s="11">
        <v>83</v>
      </c>
      <c r="B172" s="11" t="s">
        <v>190</v>
      </c>
      <c r="C172" s="121">
        <v>1958</v>
      </c>
      <c r="D172" s="11" t="s">
        <v>42</v>
      </c>
      <c r="E172" s="11" t="s">
        <v>33</v>
      </c>
      <c r="F172" s="11">
        <v>4</v>
      </c>
      <c r="G172" s="11">
        <v>2</v>
      </c>
      <c r="H172" s="11">
        <v>31</v>
      </c>
      <c r="I172" s="11">
        <v>52</v>
      </c>
      <c r="J172" s="19">
        <v>1178.8</v>
      </c>
      <c r="K172" s="19">
        <v>111.5</v>
      </c>
      <c r="L172" s="19">
        <f t="shared" si="16"/>
        <v>1290.3</v>
      </c>
      <c r="M172" s="19">
        <f>824-447.66</f>
        <v>376.34</v>
      </c>
      <c r="N172" s="16">
        <v>94.2</v>
      </c>
      <c r="O172" s="46">
        <v>559.57500000000005</v>
      </c>
      <c r="P172" s="40" t="s">
        <v>19</v>
      </c>
    </row>
    <row r="173" spans="1:16">
      <c r="A173" s="11">
        <v>84</v>
      </c>
      <c r="B173" s="11" t="s">
        <v>191</v>
      </c>
      <c r="C173" s="121">
        <v>1959</v>
      </c>
      <c r="D173" s="11" t="s">
        <v>42</v>
      </c>
      <c r="E173" s="11" t="s">
        <v>33</v>
      </c>
      <c r="F173" s="11">
        <v>4</v>
      </c>
      <c r="G173" s="11">
        <v>2</v>
      </c>
      <c r="H173" s="11">
        <v>32</v>
      </c>
      <c r="I173" s="11">
        <v>52</v>
      </c>
      <c r="J173" s="19">
        <v>1256.0999999999999</v>
      </c>
      <c r="K173" s="19">
        <v>317.89999999999998</v>
      </c>
      <c r="L173" s="19">
        <f t="shared" si="16"/>
        <v>1574</v>
      </c>
      <c r="M173" s="19">
        <f>1075-441</f>
        <v>634</v>
      </c>
      <c r="N173" s="16">
        <v>97.8</v>
      </c>
      <c r="O173" s="46">
        <v>551.25</v>
      </c>
      <c r="P173" s="40" t="s">
        <v>19</v>
      </c>
    </row>
    <row r="174" spans="1:16">
      <c r="A174" s="11">
        <v>85</v>
      </c>
      <c r="B174" s="11" t="s">
        <v>192</v>
      </c>
      <c r="C174" s="121">
        <v>1973</v>
      </c>
      <c r="D174" s="11" t="s">
        <v>42</v>
      </c>
      <c r="E174" s="11" t="s">
        <v>33</v>
      </c>
      <c r="F174" s="11">
        <v>5</v>
      </c>
      <c r="G174" s="11">
        <v>2</v>
      </c>
      <c r="H174" s="11">
        <v>39</v>
      </c>
      <c r="I174" s="11">
        <v>85</v>
      </c>
      <c r="J174" s="19">
        <v>1749.1</v>
      </c>
      <c r="K174" s="19">
        <v>57.9</v>
      </c>
      <c r="L174" s="19">
        <f t="shared" si="16"/>
        <v>1807</v>
      </c>
      <c r="M174" s="19">
        <f>1117-501.72</f>
        <v>615.28</v>
      </c>
      <c r="N174" s="16">
        <v>152</v>
      </c>
      <c r="O174" s="46">
        <v>627.15</v>
      </c>
      <c r="P174" s="40" t="s">
        <v>19</v>
      </c>
    </row>
    <row r="175" spans="1:16">
      <c r="A175" s="11">
        <v>86</v>
      </c>
      <c r="B175" s="11" t="s">
        <v>193</v>
      </c>
      <c r="C175" s="121">
        <v>1959</v>
      </c>
      <c r="D175" s="11" t="s">
        <v>65</v>
      </c>
      <c r="E175" s="11" t="s">
        <v>33</v>
      </c>
      <c r="F175" s="11">
        <v>4</v>
      </c>
      <c r="G175" s="11">
        <v>2</v>
      </c>
      <c r="H175" s="11">
        <v>33</v>
      </c>
      <c r="I175" s="11">
        <v>59</v>
      </c>
      <c r="J175" s="19">
        <v>1304.9000000000001</v>
      </c>
      <c r="K175" s="19">
        <v>0</v>
      </c>
      <c r="L175" s="19">
        <f t="shared" si="16"/>
        <v>1304.9000000000001</v>
      </c>
      <c r="M175" s="19">
        <f>1165-452</f>
        <v>713</v>
      </c>
      <c r="N175" s="16">
        <v>100</v>
      </c>
      <c r="O175" s="46">
        <v>565.46249999999998</v>
      </c>
      <c r="P175" s="40" t="s">
        <v>19</v>
      </c>
    </row>
    <row r="176" spans="1:16">
      <c r="A176" s="11">
        <v>87</v>
      </c>
      <c r="B176" s="11" t="s">
        <v>194</v>
      </c>
      <c r="C176" s="121">
        <v>1959</v>
      </c>
      <c r="D176" s="11" t="s">
        <v>22</v>
      </c>
      <c r="E176" s="11" t="s">
        <v>33</v>
      </c>
      <c r="F176" s="11">
        <v>4</v>
      </c>
      <c r="G176" s="11">
        <v>2</v>
      </c>
      <c r="H176" s="11">
        <v>32</v>
      </c>
      <c r="I176" s="11">
        <v>46</v>
      </c>
      <c r="J176" s="19">
        <v>1299</v>
      </c>
      <c r="K176" s="19">
        <v>0</v>
      </c>
      <c r="L176" s="19">
        <f t="shared" si="16"/>
        <v>1299</v>
      </c>
      <c r="M176" s="19">
        <f>1067-441.51</f>
        <v>625.49</v>
      </c>
      <c r="N176" s="16">
        <v>100.1</v>
      </c>
      <c r="O176" s="46">
        <v>551.88750000000005</v>
      </c>
      <c r="P176" s="40" t="s">
        <v>19</v>
      </c>
    </row>
    <row r="177" spans="1:16">
      <c r="A177" s="11">
        <v>88</v>
      </c>
      <c r="B177" s="11" t="s">
        <v>195</v>
      </c>
      <c r="C177" s="121">
        <v>1958</v>
      </c>
      <c r="D177" s="11" t="s">
        <v>42</v>
      </c>
      <c r="E177" s="11" t="s">
        <v>33</v>
      </c>
      <c r="F177" s="11">
        <v>5</v>
      </c>
      <c r="G177" s="11">
        <v>3</v>
      </c>
      <c r="H177" s="11">
        <v>58</v>
      </c>
      <c r="I177" s="11">
        <v>117</v>
      </c>
      <c r="J177" s="19">
        <v>3737</v>
      </c>
      <c r="K177" s="19">
        <f>145.9+77.9</f>
        <v>223.8</v>
      </c>
      <c r="L177" s="19">
        <f t="shared" si="16"/>
        <v>3960.8</v>
      </c>
      <c r="M177" s="19">
        <f>2676-1099.2</f>
        <v>1576.8</v>
      </c>
      <c r="N177" s="16">
        <v>403.5</v>
      </c>
      <c r="O177" s="46">
        <v>1374</v>
      </c>
      <c r="P177" s="40" t="s">
        <v>19</v>
      </c>
    </row>
    <row r="178" spans="1:16">
      <c r="A178" s="11">
        <v>89</v>
      </c>
      <c r="B178" s="11" t="s">
        <v>196</v>
      </c>
      <c r="C178" s="121">
        <v>1958</v>
      </c>
      <c r="D178" s="11" t="s">
        <v>22</v>
      </c>
      <c r="E178" s="11" t="s">
        <v>33</v>
      </c>
      <c r="F178" s="11">
        <v>4</v>
      </c>
      <c r="G178" s="11">
        <v>2</v>
      </c>
      <c r="H178" s="11">
        <v>32</v>
      </c>
      <c r="I178" s="11">
        <v>56</v>
      </c>
      <c r="J178" s="19">
        <v>1261.4000000000001</v>
      </c>
      <c r="K178" s="19">
        <v>139.5</v>
      </c>
      <c r="L178" s="19">
        <f t="shared" si="16"/>
        <v>1400.9</v>
      </c>
      <c r="M178" s="19">
        <f>1042-465.47</f>
        <v>576.53</v>
      </c>
      <c r="N178" s="16">
        <v>97.6</v>
      </c>
      <c r="O178" s="46">
        <v>581.83749999999998</v>
      </c>
      <c r="P178" s="40" t="s">
        <v>19</v>
      </c>
    </row>
    <row r="179" spans="1:16">
      <c r="A179" s="11">
        <v>90</v>
      </c>
      <c r="B179" s="11" t="s">
        <v>197</v>
      </c>
      <c r="C179" s="121">
        <v>1960</v>
      </c>
      <c r="D179" s="11" t="s">
        <v>22</v>
      </c>
      <c r="E179" s="11" t="s">
        <v>33</v>
      </c>
      <c r="F179" s="11">
        <v>4</v>
      </c>
      <c r="G179" s="11">
        <v>2</v>
      </c>
      <c r="H179" s="11">
        <v>32</v>
      </c>
      <c r="I179" s="11">
        <v>52</v>
      </c>
      <c r="J179" s="19">
        <v>1324.7</v>
      </c>
      <c r="K179" s="19">
        <v>142.80000000000001</v>
      </c>
      <c r="L179" s="19">
        <f t="shared" si="16"/>
        <v>1467.5</v>
      </c>
      <c r="M179" s="19">
        <f>957-457</f>
        <v>500</v>
      </c>
      <c r="N179" s="16">
        <v>99.1</v>
      </c>
      <c r="O179" s="46">
        <v>571.25</v>
      </c>
      <c r="P179" s="40" t="s">
        <v>19</v>
      </c>
    </row>
    <row r="180" spans="1:16">
      <c r="A180" s="11">
        <v>91</v>
      </c>
      <c r="B180" s="11" t="s">
        <v>198</v>
      </c>
      <c r="C180" s="121">
        <v>1958</v>
      </c>
      <c r="D180" s="11" t="s">
        <v>22</v>
      </c>
      <c r="E180" s="11" t="s">
        <v>33</v>
      </c>
      <c r="F180" s="11">
        <v>4</v>
      </c>
      <c r="G180" s="11">
        <v>2</v>
      </c>
      <c r="H180" s="11">
        <v>32</v>
      </c>
      <c r="I180" s="11">
        <v>55</v>
      </c>
      <c r="J180" s="19">
        <v>1243.9000000000001</v>
      </c>
      <c r="K180" s="19">
        <v>63.9</v>
      </c>
      <c r="L180" s="19">
        <f t="shared" si="16"/>
        <v>1307.8000000000002</v>
      </c>
      <c r="M180" s="19">
        <f>1047-446.69</f>
        <v>600.30999999999995</v>
      </c>
      <c r="N180" s="16">
        <v>98.5</v>
      </c>
      <c r="O180" s="46">
        <v>558.36249999999995</v>
      </c>
      <c r="P180" s="40" t="s">
        <v>19</v>
      </c>
    </row>
    <row r="181" spans="1:16">
      <c r="A181" s="11">
        <v>92</v>
      </c>
      <c r="B181" s="11" t="s">
        <v>199</v>
      </c>
      <c r="C181" s="121">
        <v>1958</v>
      </c>
      <c r="D181" s="11" t="s">
        <v>22</v>
      </c>
      <c r="E181" s="11" t="s">
        <v>33</v>
      </c>
      <c r="F181" s="11">
        <v>4</v>
      </c>
      <c r="G181" s="11">
        <v>2</v>
      </c>
      <c r="H181" s="11">
        <v>32</v>
      </c>
      <c r="I181" s="11">
        <v>53</v>
      </c>
      <c r="J181" s="19">
        <v>1291.5999999999999</v>
      </c>
      <c r="K181" s="19">
        <v>73.599999999999994</v>
      </c>
      <c r="L181" s="19">
        <f t="shared" si="16"/>
        <v>1365.1999999999998</v>
      </c>
      <c r="M181" s="19">
        <f>1056-447.52</f>
        <v>608.48</v>
      </c>
      <c r="N181" s="16">
        <v>97.3</v>
      </c>
      <c r="O181" s="46">
        <v>559.4</v>
      </c>
      <c r="P181" s="40" t="s">
        <v>19</v>
      </c>
    </row>
    <row r="182" spans="1:16">
      <c r="A182" s="11">
        <v>93</v>
      </c>
      <c r="B182" s="11" t="s">
        <v>200</v>
      </c>
      <c r="C182" s="121">
        <v>1958</v>
      </c>
      <c r="D182" s="11" t="s">
        <v>22</v>
      </c>
      <c r="E182" s="11" t="s">
        <v>33</v>
      </c>
      <c r="F182" s="11">
        <v>4</v>
      </c>
      <c r="G182" s="11">
        <v>2</v>
      </c>
      <c r="H182" s="11">
        <v>30</v>
      </c>
      <c r="I182" s="11">
        <v>58</v>
      </c>
      <c r="J182" s="19">
        <v>1191.5</v>
      </c>
      <c r="K182" s="19">
        <v>153.1</v>
      </c>
      <c r="L182" s="19">
        <f t="shared" si="16"/>
        <v>1344.6</v>
      </c>
      <c r="M182" s="19">
        <f>894-432.98</f>
        <v>461.02</v>
      </c>
      <c r="N182" s="16">
        <v>97.2</v>
      </c>
      <c r="O182" s="46">
        <v>541.22500000000002</v>
      </c>
      <c r="P182" s="40" t="s">
        <v>19</v>
      </c>
    </row>
    <row r="183" spans="1:16">
      <c r="A183" s="11">
        <v>94</v>
      </c>
      <c r="B183" s="11" t="s">
        <v>201</v>
      </c>
      <c r="C183" s="121">
        <v>1958</v>
      </c>
      <c r="D183" s="11" t="s">
        <v>32</v>
      </c>
      <c r="E183" s="11" t="s">
        <v>33</v>
      </c>
      <c r="F183" s="11">
        <v>4</v>
      </c>
      <c r="G183" s="11">
        <v>2</v>
      </c>
      <c r="H183" s="11">
        <v>24</v>
      </c>
      <c r="I183" s="11">
        <v>52</v>
      </c>
      <c r="J183" s="19">
        <v>1268.5999999999999</v>
      </c>
      <c r="K183" s="19">
        <v>0</v>
      </c>
      <c r="L183" s="19">
        <f t="shared" si="16"/>
        <v>1268.5999999999999</v>
      </c>
      <c r="M183" s="19">
        <f>997-463</f>
        <v>534</v>
      </c>
      <c r="N183" s="16">
        <v>117.6</v>
      </c>
      <c r="O183" s="46">
        <v>577.5</v>
      </c>
      <c r="P183" s="40" t="s">
        <v>19</v>
      </c>
    </row>
    <row r="184" spans="1:16">
      <c r="A184" s="11">
        <v>95</v>
      </c>
      <c r="B184" s="11" t="s">
        <v>202</v>
      </c>
      <c r="C184" s="121">
        <v>1968</v>
      </c>
      <c r="D184" s="11" t="s">
        <v>22</v>
      </c>
      <c r="E184" s="11" t="s">
        <v>33</v>
      </c>
      <c r="F184" s="11">
        <v>5</v>
      </c>
      <c r="G184" s="11">
        <v>2</v>
      </c>
      <c r="H184" s="11">
        <v>40</v>
      </c>
      <c r="I184" s="11">
        <v>59</v>
      </c>
      <c r="J184" s="19">
        <v>1599.9</v>
      </c>
      <c r="K184" s="19">
        <v>0</v>
      </c>
      <c r="L184" s="19">
        <f t="shared" si="16"/>
        <v>1599.9</v>
      </c>
      <c r="M184" s="19">
        <f>1224-462</f>
        <v>762</v>
      </c>
      <c r="N184" s="16">
        <v>124.2</v>
      </c>
      <c r="O184" s="46">
        <v>578.75</v>
      </c>
      <c r="P184" s="40" t="s">
        <v>19</v>
      </c>
    </row>
    <row r="185" spans="1:16">
      <c r="A185" s="11">
        <v>96</v>
      </c>
      <c r="B185" s="11" t="s">
        <v>203</v>
      </c>
      <c r="C185" s="121">
        <v>1963</v>
      </c>
      <c r="D185" s="11" t="s">
        <v>22</v>
      </c>
      <c r="E185" s="11" t="s">
        <v>33</v>
      </c>
      <c r="F185" s="11">
        <v>4</v>
      </c>
      <c r="G185" s="11">
        <v>4</v>
      </c>
      <c r="H185" s="11">
        <v>64</v>
      </c>
      <c r="I185" s="11">
        <v>131</v>
      </c>
      <c r="J185" s="19">
        <v>2564.8000000000002</v>
      </c>
      <c r="K185" s="19">
        <v>239.5</v>
      </c>
      <c r="L185" s="19">
        <f t="shared" si="16"/>
        <v>2804.3</v>
      </c>
      <c r="M185" s="19">
        <f>1525-901.02</f>
        <v>623.98</v>
      </c>
      <c r="N185" s="16">
        <v>198</v>
      </c>
      <c r="O185" s="46">
        <v>1126.2750000000001</v>
      </c>
      <c r="P185" s="40" t="s">
        <v>19</v>
      </c>
    </row>
    <row r="186" spans="1:16">
      <c r="A186" s="11">
        <v>97</v>
      </c>
      <c r="B186" s="11" t="s">
        <v>204</v>
      </c>
      <c r="C186" s="121">
        <v>1976</v>
      </c>
      <c r="D186" s="11" t="s">
        <v>22</v>
      </c>
      <c r="E186" s="11" t="s">
        <v>33</v>
      </c>
      <c r="F186" s="11">
        <v>5</v>
      </c>
      <c r="G186" s="11">
        <v>4</v>
      </c>
      <c r="H186" s="11">
        <v>70</v>
      </c>
      <c r="I186" s="11">
        <v>158</v>
      </c>
      <c r="J186" s="19">
        <v>3207</v>
      </c>
      <c r="K186" s="19">
        <f>208.6+169</f>
        <v>377.6</v>
      </c>
      <c r="L186" s="19">
        <f t="shared" si="16"/>
        <v>3584.6</v>
      </c>
      <c r="M186" s="19">
        <f>1589-890.06</f>
        <v>698.94</v>
      </c>
      <c r="N186" s="16">
        <v>266.3</v>
      </c>
      <c r="O186" s="46">
        <v>1112.5999999999999</v>
      </c>
      <c r="P186" s="40" t="s">
        <v>19</v>
      </c>
    </row>
    <row r="187" spans="1:16">
      <c r="A187" s="11">
        <v>98</v>
      </c>
      <c r="B187" s="11" t="s">
        <v>205</v>
      </c>
      <c r="C187" s="121">
        <v>1960</v>
      </c>
      <c r="D187" s="11" t="s">
        <v>32</v>
      </c>
      <c r="E187" s="11" t="s">
        <v>33</v>
      </c>
      <c r="F187" s="11">
        <v>3</v>
      </c>
      <c r="G187" s="11">
        <v>3</v>
      </c>
      <c r="H187" s="11">
        <v>36</v>
      </c>
      <c r="I187" s="11">
        <v>69</v>
      </c>
      <c r="J187" s="19">
        <v>1513.3</v>
      </c>
      <c r="K187" s="19">
        <v>162.9</v>
      </c>
      <c r="L187" s="19">
        <f t="shared" si="16"/>
        <v>1676.2</v>
      </c>
      <c r="M187" s="19">
        <f>1358-713.06</f>
        <v>644.94000000000005</v>
      </c>
      <c r="N187" s="16">
        <v>107.6</v>
      </c>
      <c r="O187" s="46">
        <v>891.32500000000005</v>
      </c>
      <c r="P187" s="40" t="s">
        <v>19</v>
      </c>
    </row>
    <row r="188" spans="1:16">
      <c r="A188" s="11">
        <v>99</v>
      </c>
      <c r="B188" s="11" t="s">
        <v>206</v>
      </c>
      <c r="C188" s="121">
        <v>1957</v>
      </c>
      <c r="D188" s="11" t="s">
        <v>69</v>
      </c>
      <c r="E188" s="11" t="s">
        <v>33</v>
      </c>
      <c r="F188" s="11">
        <v>3</v>
      </c>
      <c r="G188" s="141">
        <v>2</v>
      </c>
      <c r="H188" s="141">
        <v>18</v>
      </c>
      <c r="I188" s="141">
        <v>37</v>
      </c>
      <c r="J188" s="19">
        <v>985</v>
      </c>
      <c r="K188" s="19">
        <v>0</v>
      </c>
      <c r="L188" s="19">
        <f>J188+K188</f>
        <v>985</v>
      </c>
      <c r="M188" s="19">
        <v>506</v>
      </c>
      <c r="N188" s="16">
        <v>87</v>
      </c>
      <c r="O188" s="46">
        <v>625</v>
      </c>
      <c r="P188" s="40" t="s">
        <v>19</v>
      </c>
    </row>
    <row r="189" spans="1:16">
      <c r="A189" s="11">
        <v>100</v>
      </c>
      <c r="B189" s="11" t="s">
        <v>207</v>
      </c>
      <c r="C189" s="121">
        <v>1960</v>
      </c>
      <c r="D189" s="11" t="s">
        <v>32</v>
      </c>
      <c r="E189" s="11" t="s">
        <v>33</v>
      </c>
      <c r="F189" s="11">
        <v>3</v>
      </c>
      <c r="G189" s="11">
        <v>3</v>
      </c>
      <c r="H189" s="11">
        <v>36</v>
      </c>
      <c r="I189" s="11">
        <v>57</v>
      </c>
      <c r="J189" s="19">
        <v>1484.7</v>
      </c>
      <c r="K189" s="19">
        <v>69.5</v>
      </c>
      <c r="L189" s="19">
        <f>K189+J189</f>
        <v>1554.2</v>
      </c>
      <c r="M189" s="19">
        <f>1384-692.15</f>
        <v>691.85</v>
      </c>
      <c r="N189" s="16">
        <v>110.1</v>
      </c>
      <c r="O189" s="46">
        <v>865.1875</v>
      </c>
      <c r="P189" s="40" t="s">
        <v>19</v>
      </c>
    </row>
    <row r="190" spans="1:16">
      <c r="A190" s="11">
        <v>101</v>
      </c>
      <c r="B190" s="11" t="s">
        <v>208</v>
      </c>
      <c r="C190" s="121">
        <v>1964</v>
      </c>
      <c r="D190" s="11" t="s">
        <v>22</v>
      </c>
      <c r="E190" s="11" t="s">
        <v>33</v>
      </c>
      <c r="F190" s="11">
        <v>5</v>
      </c>
      <c r="G190" s="11">
        <v>4</v>
      </c>
      <c r="H190" s="11">
        <v>80</v>
      </c>
      <c r="I190" s="11">
        <v>129</v>
      </c>
      <c r="J190" s="19">
        <v>3246.97</v>
      </c>
      <c r="K190" s="19">
        <v>0</v>
      </c>
      <c r="L190" s="19">
        <f t="shared" ref="L190:L215" si="17">J190+K190</f>
        <v>3246.97</v>
      </c>
      <c r="M190" s="19">
        <f>1883-873.81</f>
        <v>1009.19</v>
      </c>
      <c r="N190" s="16">
        <v>274</v>
      </c>
      <c r="O190" s="46">
        <v>1092.2625</v>
      </c>
      <c r="P190" s="40" t="s">
        <v>19</v>
      </c>
    </row>
    <row r="191" spans="1:16">
      <c r="A191" s="11">
        <v>102</v>
      </c>
      <c r="B191" s="11" t="s">
        <v>209</v>
      </c>
      <c r="C191" s="121">
        <v>1952</v>
      </c>
      <c r="D191" s="11" t="s">
        <v>67</v>
      </c>
      <c r="E191" s="11" t="s">
        <v>33</v>
      </c>
      <c r="F191" s="11">
        <v>3</v>
      </c>
      <c r="G191" s="11">
        <v>2</v>
      </c>
      <c r="H191" s="11">
        <v>18</v>
      </c>
      <c r="I191" s="11">
        <v>44</v>
      </c>
      <c r="J191" s="19">
        <v>1121.2</v>
      </c>
      <c r="K191" s="19">
        <v>0</v>
      </c>
      <c r="L191" s="19">
        <f t="shared" si="17"/>
        <v>1121.2</v>
      </c>
      <c r="M191" s="19">
        <f>822-538</f>
        <v>284</v>
      </c>
      <c r="N191" s="16">
        <v>110</v>
      </c>
      <c r="O191" s="46">
        <v>672.5</v>
      </c>
      <c r="P191" s="40" t="s">
        <v>19</v>
      </c>
    </row>
    <row r="192" spans="1:16">
      <c r="A192" s="11">
        <v>103</v>
      </c>
      <c r="B192" s="11" t="s">
        <v>210</v>
      </c>
      <c r="C192" s="121">
        <v>1952</v>
      </c>
      <c r="D192" s="11" t="s">
        <v>67</v>
      </c>
      <c r="E192" s="11" t="s">
        <v>33</v>
      </c>
      <c r="F192" s="11">
        <v>3</v>
      </c>
      <c r="G192" s="11">
        <v>2</v>
      </c>
      <c r="H192" s="11">
        <v>14</v>
      </c>
      <c r="I192" s="11">
        <v>29</v>
      </c>
      <c r="J192" s="19">
        <v>801.8</v>
      </c>
      <c r="K192" s="19">
        <v>376.9</v>
      </c>
      <c r="L192" s="19">
        <f t="shared" si="17"/>
        <v>1178.6999999999998</v>
      </c>
      <c r="M192" s="19">
        <f>1025-557.05</f>
        <v>467.95000000000005</v>
      </c>
      <c r="N192" s="16">
        <v>47.5</v>
      </c>
      <c r="O192" s="46">
        <v>696.3125</v>
      </c>
      <c r="P192" s="40" t="s">
        <v>19</v>
      </c>
    </row>
    <row r="193" spans="1:16">
      <c r="A193" s="11">
        <v>104</v>
      </c>
      <c r="B193" s="11" t="s">
        <v>211</v>
      </c>
      <c r="C193" s="121">
        <v>1953</v>
      </c>
      <c r="D193" s="11" t="s">
        <v>67</v>
      </c>
      <c r="E193" s="11" t="s">
        <v>33</v>
      </c>
      <c r="F193" s="11">
        <v>3</v>
      </c>
      <c r="G193" s="11">
        <v>2</v>
      </c>
      <c r="H193" s="11">
        <v>18</v>
      </c>
      <c r="I193" s="11">
        <v>46</v>
      </c>
      <c r="J193" s="19">
        <v>1125</v>
      </c>
      <c r="K193" s="19">
        <v>0</v>
      </c>
      <c r="L193" s="19">
        <f t="shared" si="17"/>
        <v>1125</v>
      </c>
      <c r="M193" s="19">
        <f>1102-547</f>
        <v>555</v>
      </c>
      <c r="N193" s="16">
        <v>47.5</v>
      </c>
      <c r="O193" s="46">
        <v>683.75</v>
      </c>
      <c r="P193" s="40" t="s">
        <v>19</v>
      </c>
    </row>
    <row r="194" spans="1:16">
      <c r="A194" s="11">
        <v>105</v>
      </c>
      <c r="B194" s="11" t="s">
        <v>212</v>
      </c>
      <c r="C194" s="121">
        <v>1951</v>
      </c>
      <c r="D194" s="11" t="s">
        <v>67</v>
      </c>
      <c r="E194" s="11" t="s">
        <v>33</v>
      </c>
      <c r="F194" s="11">
        <v>2</v>
      </c>
      <c r="G194" s="11">
        <v>1</v>
      </c>
      <c r="H194" s="11">
        <v>8</v>
      </c>
      <c r="I194" s="11">
        <v>15</v>
      </c>
      <c r="J194" s="19">
        <v>439.3</v>
      </c>
      <c r="K194" s="19">
        <v>0</v>
      </c>
      <c r="L194" s="19">
        <f t="shared" si="17"/>
        <v>439.3</v>
      </c>
      <c r="M194" s="19">
        <f>628-328</f>
        <v>300</v>
      </c>
      <c r="N194" s="16">
        <v>39.4</v>
      </c>
      <c r="O194" s="46">
        <v>410</v>
      </c>
      <c r="P194" s="40" t="s">
        <v>19</v>
      </c>
    </row>
    <row r="195" spans="1:16">
      <c r="A195" s="11">
        <v>106</v>
      </c>
      <c r="B195" s="11" t="s">
        <v>213</v>
      </c>
      <c r="C195" s="121">
        <v>1951</v>
      </c>
      <c r="D195" s="11" t="s">
        <v>67</v>
      </c>
      <c r="E195" s="11" t="s">
        <v>33</v>
      </c>
      <c r="F195" s="11">
        <v>2</v>
      </c>
      <c r="G195" s="11">
        <v>3</v>
      </c>
      <c r="H195" s="11">
        <v>15</v>
      </c>
      <c r="I195" s="11">
        <v>34</v>
      </c>
      <c r="J195" s="19">
        <v>831.6</v>
      </c>
      <c r="K195" s="19">
        <v>298</v>
      </c>
      <c r="L195" s="19">
        <f t="shared" si="17"/>
        <v>1129.5999999999999</v>
      </c>
      <c r="M195" s="19">
        <f>1290-761</f>
        <v>529</v>
      </c>
      <c r="N195" s="16">
        <v>91.4</v>
      </c>
      <c r="O195" s="46">
        <v>951.25</v>
      </c>
      <c r="P195" s="40" t="s">
        <v>19</v>
      </c>
    </row>
    <row r="196" spans="1:16">
      <c r="A196" s="11">
        <v>107</v>
      </c>
      <c r="B196" s="11" t="s">
        <v>214</v>
      </c>
      <c r="C196" s="121">
        <v>1972</v>
      </c>
      <c r="D196" s="11" t="s">
        <v>22</v>
      </c>
      <c r="E196" s="11" t="s">
        <v>33</v>
      </c>
      <c r="F196" s="11">
        <v>5</v>
      </c>
      <c r="G196" s="11">
        <v>4</v>
      </c>
      <c r="H196" s="11">
        <v>70</v>
      </c>
      <c r="I196" s="11">
        <v>154</v>
      </c>
      <c r="J196" s="19">
        <v>3321.2</v>
      </c>
      <c r="K196" s="19">
        <v>464</v>
      </c>
      <c r="L196" s="19">
        <f t="shared" si="17"/>
        <v>3785.2</v>
      </c>
      <c r="M196" s="19">
        <f>1803-965.33</f>
        <v>837.67</v>
      </c>
      <c r="N196" s="16">
        <v>270.3</v>
      </c>
      <c r="O196" s="46">
        <v>1206.7</v>
      </c>
      <c r="P196" s="40" t="s">
        <v>19</v>
      </c>
    </row>
    <row r="197" spans="1:16">
      <c r="A197" s="11">
        <v>108</v>
      </c>
      <c r="B197" s="11" t="s">
        <v>215</v>
      </c>
      <c r="C197" s="121">
        <v>1964</v>
      </c>
      <c r="D197" s="11" t="s">
        <v>26</v>
      </c>
      <c r="E197" s="11" t="s">
        <v>33</v>
      </c>
      <c r="F197" s="11">
        <v>5</v>
      </c>
      <c r="G197" s="11">
        <v>4</v>
      </c>
      <c r="H197" s="11">
        <v>75</v>
      </c>
      <c r="I197" s="11">
        <v>140</v>
      </c>
      <c r="J197" s="19">
        <v>3289.3</v>
      </c>
      <c r="K197" s="19">
        <v>0</v>
      </c>
      <c r="L197" s="19">
        <f t="shared" si="17"/>
        <v>3289.3</v>
      </c>
      <c r="M197" s="19">
        <f>1510-878.75</f>
        <v>631.25</v>
      </c>
      <c r="N197" s="16">
        <v>274</v>
      </c>
      <c r="O197" s="46">
        <v>1098.4000000000001</v>
      </c>
      <c r="P197" s="40" t="s">
        <v>19</v>
      </c>
    </row>
    <row r="198" spans="1:16">
      <c r="A198" s="11">
        <v>109</v>
      </c>
      <c r="B198" s="11" t="s">
        <v>216</v>
      </c>
      <c r="C198" s="121">
        <v>1962</v>
      </c>
      <c r="D198" s="11" t="s">
        <v>26</v>
      </c>
      <c r="E198" s="11" t="s">
        <v>33</v>
      </c>
      <c r="F198" s="11">
        <v>4</v>
      </c>
      <c r="G198" s="11">
        <v>4</v>
      </c>
      <c r="H198" s="11">
        <v>62</v>
      </c>
      <c r="I198" s="11">
        <v>142</v>
      </c>
      <c r="J198" s="19">
        <v>2622</v>
      </c>
      <c r="K198" s="19">
        <v>61.3</v>
      </c>
      <c r="L198" s="19">
        <f t="shared" si="17"/>
        <v>2683.3</v>
      </c>
      <c r="M198" s="19">
        <f>2079-940.68</f>
        <v>1138.3200000000002</v>
      </c>
      <c r="N198" s="16">
        <v>263</v>
      </c>
      <c r="O198" s="46">
        <v>1175.8499999999999</v>
      </c>
      <c r="P198" s="40" t="s">
        <v>19</v>
      </c>
    </row>
    <row r="199" spans="1:16">
      <c r="A199" s="11">
        <v>110</v>
      </c>
      <c r="B199" s="11" t="s">
        <v>217</v>
      </c>
      <c r="C199" s="121">
        <v>1964</v>
      </c>
      <c r="D199" s="11" t="s">
        <v>22</v>
      </c>
      <c r="E199" s="11" t="s">
        <v>33</v>
      </c>
      <c r="F199" s="11">
        <v>5</v>
      </c>
      <c r="G199" s="11">
        <v>4</v>
      </c>
      <c r="H199" s="11">
        <v>57</v>
      </c>
      <c r="I199" s="11">
        <v>157</v>
      </c>
      <c r="J199" s="19">
        <v>3192.8</v>
      </c>
      <c r="K199" s="19">
        <v>0</v>
      </c>
      <c r="L199" s="19">
        <f t="shared" si="17"/>
        <v>3192.8</v>
      </c>
      <c r="M199" s="19">
        <f>1804-906.93</f>
        <v>897.07</v>
      </c>
      <c r="N199" s="16">
        <v>248.5</v>
      </c>
      <c r="O199" s="46">
        <v>1133.6624999999999</v>
      </c>
      <c r="P199" s="40" t="s">
        <v>19</v>
      </c>
    </row>
    <row r="200" spans="1:16">
      <c r="A200" s="11">
        <v>111</v>
      </c>
      <c r="B200" s="11" t="s">
        <v>218</v>
      </c>
      <c r="C200" s="121">
        <v>1966</v>
      </c>
      <c r="D200" s="11" t="s">
        <v>22</v>
      </c>
      <c r="E200" s="11" t="s">
        <v>33</v>
      </c>
      <c r="F200" s="11">
        <v>5</v>
      </c>
      <c r="G200" s="11">
        <v>4</v>
      </c>
      <c r="H200" s="11">
        <v>80</v>
      </c>
      <c r="I200" s="11">
        <v>130</v>
      </c>
      <c r="J200" s="19">
        <v>3232.1</v>
      </c>
      <c r="K200" s="19">
        <v>0</v>
      </c>
      <c r="L200" s="19">
        <f t="shared" si="17"/>
        <v>3232.1</v>
      </c>
      <c r="M200" s="19">
        <f>2203-875.23</f>
        <v>1327.77</v>
      </c>
      <c r="N200" s="16">
        <v>197.6</v>
      </c>
      <c r="O200" s="46">
        <v>1094.0374999999999</v>
      </c>
      <c r="P200" s="40" t="s">
        <v>19</v>
      </c>
    </row>
    <row r="201" spans="1:16">
      <c r="A201" s="11">
        <v>112</v>
      </c>
      <c r="B201" s="11" t="s">
        <v>219</v>
      </c>
      <c r="C201" s="121">
        <v>1966</v>
      </c>
      <c r="D201" s="11" t="s">
        <v>22</v>
      </c>
      <c r="E201" s="11" t="s">
        <v>33</v>
      </c>
      <c r="F201" s="11">
        <v>5</v>
      </c>
      <c r="G201" s="11">
        <v>3</v>
      </c>
      <c r="H201" s="11">
        <v>56</v>
      </c>
      <c r="I201" s="11">
        <v>106</v>
      </c>
      <c r="J201" s="19">
        <v>2390.6</v>
      </c>
      <c r="K201" s="19">
        <v>220.5</v>
      </c>
      <c r="L201" s="19">
        <f t="shared" si="17"/>
        <v>2611.1</v>
      </c>
      <c r="M201" s="19">
        <f>1418-726.86</f>
        <v>691.14</v>
      </c>
      <c r="N201" s="16">
        <v>185.8</v>
      </c>
      <c r="O201" s="46">
        <v>908.57500000000005</v>
      </c>
      <c r="P201" s="40" t="s">
        <v>19</v>
      </c>
    </row>
    <row r="202" spans="1:16">
      <c r="A202" s="11">
        <v>113</v>
      </c>
      <c r="B202" s="11" t="s">
        <v>220</v>
      </c>
      <c r="C202" s="121">
        <v>1966</v>
      </c>
      <c r="D202" s="11" t="s">
        <v>22</v>
      </c>
      <c r="E202" s="11" t="s">
        <v>33</v>
      </c>
      <c r="F202" s="11">
        <v>5</v>
      </c>
      <c r="G202" s="11">
        <v>5</v>
      </c>
      <c r="H202" s="11">
        <v>80</v>
      </c>
      <c r="I202" s="11">
        <v>124</v>
      </c>
      <c r="J202" s="19">
        <v>3271.7</v>
      </c>
      <c r="K202" s="19">
        <v>0</v>
      </c>
      <c r="L202" s="19">
        <f t="shared" si="17"/>
        <v>3271.7</v>
      </c>
      <c r="M202" s="19">
        <f>1642-885.81</f>
        <v>756.19</v>
      </c>
      <c r="N202" s="16">
        <v>247.4</v>
      </c>
      <c r="O202" s="46">
        <v>1107.2625</v>
      </c>
      <c r="P202" s="40" t="s">
        <v>19</v>
      </c>
    </row>
    <row r="203" spans="1:16">
      <c r="A203" s="11">
        <v>114</v>
      </c>
      <c r="B203" s="11" t="s">
        <v>221</v>
      </c>
      <c r="C203" s="121">
        <v>1963</v>
      </c>
      <c r="D203" s="11" t="s">
        <v>22</v>
      </c>
      <c r="E203" s="11" t="s">
        <v>33</v>
      </c>
      <c r="F203" s="11">
        <v>5</v>
      </c>
      <c r="G203" s="11">
        <v>4</v>
      </c>
      <c r="H203" s="11">
        <v>69</v>
      </c>
      <c r="I203" s="11">
        <v>103</v>
      </c>
      <c r="J203" s="19">
        <v>2792.1</v>
      </c>
      <c r="K203" s="19">
        <f>404.2+57.5</f>
        <v>461.7</v>
      </c>
      <c r="L203" s="19">
        <f t="shared" si="17"/>
        <v>3253.7999999999997</v>
      </c>
      <c r="M203" s="19">
        <f>1810-904.51</f>
        <v>905.49</v>
      </c>
      <c r="N203" s="16">
        <v>249.6</v>
      </c>
      <c r="O203" s="46">
        <v>1130.6375</v>
      </c>
      <c r="P203" s="40" t="s">
        <v>19</v>
      </c>
    </row>
    <row r="204" spans="1:16">
      <c r="A204" s="11">
        <v>115</v>
      </c>
      <c r="B204" s="11" t="s">
        <v>222</v>
      </c>
      <c r="C204" s="121">
        <v>1966</v>
      </c>
      <c r="D204" s="11" t="s">
        <v>22</v>
      </c>
      <c r="E204" s="11" t="s">
        <v>33</v>
      </c>
      <c r="F204" s="11">
        <v>5</v>
      </c>
      <c r="G204" s="11">
        <v>5</v>
      </c>
      <c r="H204" s="11">
        <v>75</v>
      </c>
      <c r="I204" s="11">
        <v>131</v>
      </c>
      <c r="J204" s="19">
        <v>3248</v>
      </c>
      <c r="K204" s="19">
        <v>0</v>
      </c>
      <c r="L204" s="19">
        <f t="shared" si="17"/>
        <v>3248</v>
      </c>
      <c r="M204" s="19">
        <f>2154-898.9</f>
        <v>1255.0999999999999</v>
      </c>
      <c r="N204" s="16">
        <v>319</v>
      </c>
      <c r="O204" s="46">
        <v>1122.8625</v>
      </c>
      <c r="P204" s="40" t="s">
        <v>19</v>
      </c>
    </row>
    <row r="205" spans="1:16">
      <c r="A205" s="11">
        <v>116</v>
      </c>
      <c r="B205" s="11" t="s">
        <v>223</v>
      </c>
      <c r="C205" s="121">
        <v>1963</v>
      </c>
      <c r="D205" s="11" t="s">
        <v>22</v>
      </c>
      <c r="E205" s="11" t="s">
        <v>33</v>
      </c>
      <c r="F205" s="11">
        <v>5</v>
      </c>
      <c r="G205" s="11">
        <v>4</v>
      </c>
      <c r="H205" s="11">
        <v>78</v>
      </c>
      <c r="I205" s="11">
        <v>140</v>
      </c>
      <c r="J205" s="19">
        <v>3151.7</v>
      </c>
      <c r="K205" s="19">
        <v>250.4</v>
      </c>
      <c r="L205" s="19">
        <f t="shared" si="17"/>
        <v>3402.1</v>
      </c>
      <c r="M205" s="19">
        <f>1701-875.9</f>
        <v>825.1</v>
      </c>
      <c r="N205" s="16">
        <v>249.3</v>
      </c>
      <c r="O205" s="46">
        <v>1094.875</v>
      </c>
      <c r="P205" s="40" t="s">
        <v>19</v>
      </c>
    </row>
    <row r="206" spans="1:16">
      <c r="A206" s="11">
        <v>117</v>
      </c>
      <c r="B206" s="11" t="s">
        <v>224</v>
      </c>
      <c r="C206" s="121">
        <v>1957</v>
      </c>
      <c r="D206" s="11" t="s">
        <v>67</v>
      </c>
      <c r="E206" s="11" t="s">
        <v>33</v>
      </c>
      <c r="F206" s="11">
        <v>5</v>
      </c>
      <c r="G206" s="11">
        <v>2</v>
      </c>
      <c r="H206" s="11">
        <v>9</v>
      </c>
      <c r="I206" s="11">
        <v>14</v>
      </c>
      <c r="J206" s="19">
        <v>439</v>
      </c>
      <c r="K206" s="19">
        <v>705.7</v>
      </c>
      <c r="L206" s="19">
        <f t="shared" si="17"/>
        <v>1144.7</v>
      </c>
      <c r="M206" s="19">
        <f>1386-447</f>
        <v>939</v>
      </c>
      <c r="N206" s="16">
        <v>26</v>
      </c>
      <c r="O206" s="46">
        <v>558.79999999999995</v>
      </c>
      <c r="P206" s="40" t="s">
        <v>19</v>
      </c>
    </row>
    <row r="207" spans="1:16">
      <c r="A207" s="11">
        <v>118</v>
      </c>
      <c r="B207" s="11" t="s">
        <v>225</v>
      </c>
      <c r="C207" s="11">
        <v>1955</v>
      </c>
      <c r="D207" s="11" t="s">
        <v>67</v>
      </c>
      <c r="E207" s="11" t="s">
        <v>226</v>
      </c>
      <c r="F207" s="11">
        <v>3</v>
      </c>
      <c r="G207" s="11">
        <v>2</v>
      </c>
      <c r="H207" s="11">
        <v>18</v>
      </c>
      <c r="I207" s="11">
        <v>43</v>
      </c>
      <c r="J207" s="19">
        <v>909.2</v>
      </c>
      <c r="K207" s="19">
        <v>0</v>
      </c>
      <c r="L207" s="19">
        <f t="shared" si="17"/>
        <v>909.2</v>
      </c>
      <c r="M207" s="19">
        <f>1250-450.42</f>
        <v>799.57999999999993</v>
      </c>
      <c r="N207" s="16">
        <v>83.7</v>
      </c>
      <c r="O207" s="46">
        <f>L207*1.25</f>
        <v>1136.5</v>
      </c>
      <c r="P207" s="40" t="s">
        <v>19</v>
      </c>
    </row>
    <row r="208" spans="1:16">
      <c r="A208" s="11">
        <v>119</v>
      </c>
      <c r="B208" s="11" t="s">
        <v>227</v>
      </c>
      <c r="C208" s="11">
        <v>1955</v>
      </c>
      <c r="D208" s="11" t="s">
        <v>67</v>
      </c>
      <c r="E208" s="11" t="s">
        <v>226</v>
      </c>
      <c r="F208" s="11">
        <v>3</v>
      </c>
      <c r="G208" s="11">
        <v>2</v>
      </c>
      <c r="H208" s="11">
        <v>18</v>
      </c>
      <c r="I208" s="11">
        <v>40</v>
      </c>
      <c r="J208" s="19">
        <v>901.2</v>
      </c>
      <c r="K208" s="19">
        <v>25.5</v>
      </c>
      <c r="L208" s="19">
        <f t="shared" si="17"/>
        <v>926.7</v>
      </c>
      <c r="M208" s="19">
        <f>1104-417.27</f>
        <v>686.73</v>
      </c>
      <c r="N208" s="16">
        <v>87.1</v>
      </c>
      <c r="O208" s="46">
        <f>L208*1.25</f>
        <v>1158.375</v>
      </c>
      <c r="P208" s="40" t="s">
        <v>19</v>
      </c>
    </row>
    <row r="209" spans="1:17">
      <c r="A209" s="11">
        <v>120</v>
      </c>
      <c r="B209" s="11" t="s">
        <v>228</v>
      </c>
      <c r="C209" s="11">
        <v>1952</v>
      </c>
      <c r="D209" s="11" t="s">
        <v>67</v>
      </c>
      <c r="E209" s="11" t="s">
        <v>226</v>
      </c>
      <c r="F209" s="11">
        <v>3</v>
      </c>
      <c r="G209" s="11">
        <v>4</v>
      </c>
      <c r="H209" s="11">
        <v>30</v>
      </c>
      <c r="I209" s="11">
        <v>59</v>
      </c>
      <c r="J209" s="19">
        <v>1921.3</v>
      </c>
      <c r="K209" s="19">
        <v>479.2</v>
      </c>
      <c r="L209" s="19">
        <f t="shared" si="17"/>
        <v>2400.5</v>
      </c>
      <c r="M209" s="19">
        <f>1710-1118</f>
        <v>592</v>
      </c>
      <c r="N209" s="16">
        <v>218.8</v>
      </c>
      <c r="O209" s="46">
        <v>1397.5</v>
      </c>
      <c r="P209" s="40" t="s">
        <v>19</v>
      </c>
    </row>
    <row r="210" spans="1:17">
      <c r="A210" s="11">
        <v>121</v>
      </c>
      <c r="B210" s="11" t="s">
        <v>229</v>
      </c>
      <c r="C210" s="11">
        <v>1954</v>
      </c>
      <c r="D210" s="11" t="s">
        <v>67</v>
      </c>
      <c r="E210" s="11" t="s">
        <v>226</v>
      </c>
      <c r="F210" s="11">
        <v>3</v>
      </c>
      <c r="G210" s="11">
        <v>2</v>
      </c>
      <c r="H210" s="11">
        <v>19</v>
      </c>
      <c r="I210" s="11">
        <v>38</v>
      </c>
      <c r="J210" s="19">
        <v>1059.0999999999999</v>
      </c>
      <c r="K210" s="19">
        <f>167.6+94.2+95.9</f>
        <v>357.70000000000005</v>
      </c>
      <c r="L210" s="19">
        <f t="shared" si="17"/>
        <v>1416.8</v>
      </c>
      <c r="M210" s="19">
        <f>932-533</f>
        <v>399</v>
      </c>
      <c r="N210" s="16">
        <v>159.30000000000001</v>
      </c>
      <c r="O210" s="46">
        <v>666.25</v>
      </c>
      <c r="P210" s="40" t="s">
        <v>19</v>
      </c>
    </row>
    <row r="211" spans="1:17">
      <c r="A211" s="11">
        <v>122</v>
      </c>
      <c r="B211" s="11" t="s">
        <v>230</v>
      </c>
      <c r="C211" s="11">
        <v>1954</v>
      </c>
      <c r="D211" s="11" t="s">
        <v>67</v>
      </c>
      <c r="E211" s="11" t="s">
        <v>226</v>
      </c>
      <c r="F211" s="11">
        <v>4</v>
      </c>
      <c r="G211" s="11">
        <v>4</v>
      </c>
      <c r="H211" s="11">
        <v>41</v>
      </c>
      <c r="I211" s="11">
        <v>89</v>
      </c>
      <c r="J211" s="19">
        <v>2360</v>
      </c>
      <c r="K211" s="19">
        <f>490.3+45.6+103.4</f>
        <v>639.29999999999995</v>
      </c>
      <c r="L211" s="19">
        <f t="shared" si="17"/>
        <v>2999.3</v>
      </c>
      <c r="M211" s="19">
        <f>1886-1198</f>
        <v>688</v>
      </c>
      <c r="N211" s="16">
        <v>307</v>
      </c>
      <c r="O211" s="46">
        <v>1497.5</v>
      </c>
      <c r="P211" s="40" t="s">
        <v>19</v>
      </c>
    </row>
    <row r="212" spans="1:17">
      <c r="A212" s="11">
        <v>123</v>
      </c>
      <c r="B212" s="11" t="s">
        <v>231</v>
      </c>
      <c r="C212" s="11">
        <v>1953</v>
      </c>
      <c r="D212" s="11" t="s">
        <v>67</v>
      </c>
      <c r="E212" s="11" t="s">
        <v>226</v>
      </c>
      <c r="F212" s="11">
        <v>4</v>
      </c>
      <c r="G212" s="11">
        <v>1</v>
      </c>
      <c r="H212" s="11">
        <v>10</v>
      </c>
      <c r="I212" s="11">
        <v>23</v>
      </c>
      <c r="J212" s="19">
        <v>613.6</v>
      </c>
      <c r="K212" s="19">
        <v>53.3</v>
      </c>
      <c r="L212" s="19">
        <f t="shared" si="17"/>
        <v>666.9</v>
      </c>
      <c r="M212" s="19">
        <f>766-274</f>
        <v>492</v>
      </c>
      <c r="N212" s="16">
        <v>81.3</v>
      </c>
      <c r="O212" s="46">
        <v>342.5</v>
      </c>
      <c r="P212" s="40" t="s">
        <v>19</v>
      </c>
    </row>
    <row r="213" spans="1:17">
      <c r="A213" s="11">
        <v>124</v>
      </c>
      <c r="B213" s="11" t="s">
        <v>232</v>
      </c>
      <c r="C213" s="11">
        <v>1955</v>
      </c>
      <c r="D213" s="11" t="s">
        <v>67</v>
      </c>
      <c r="E213" s="11" t="s">
        <v>226</v>
      </c>
      <c r="F213" s="11">
        <v>3</v>
      </c>
      <c r="G213" s="11">
        <v>3</v>
      </c>
      <c r="H213" s="11">
        <v>26</v>
      </c>
      <c r="I213" s="11">
        <v>38</v>
      </c>
      <c r="J213" s="19">
        <v>1563.6</v>
      </c>
      <c r="K213" s="19">
        <v>375.6</v>
      </c>
      <c r="L213" s="19">
        <f t="shared" si="17"/>
        <v>1939.1999999999998</v>
      </c>
      <c r="M213" s="19">
        <f>1953-1017</f>
        <v>936</v>
      </c>
      <c r="N213" s="16">
        <v>247</v>
      </c>
      <c r="O213" s="46">
        <v>1271.3</v>
      </c>
      <c r="P213" s="40" t="s">
        <v>19</v>
      </c>
    </row>
    <row r="214" spans="1:17">
      <c r="A214" s="11">
        <v>125</v>
      </c>
      <c r="B214" s="11" t="s">
        <v>233</v>
      </c>
      <c r="C214" s="11">
        <v>1954</v>
      </c>
      <c r="D214" s="11" t="s">
        <v>67</v>
      </c>
      <c r="E214" s="11" t="s">
        <v>226</v>
      </c>
      <c r="F214" s="11">
        <v>3</v>
      </c>
      <c r="G214" s="11">
        <v>4</v>
      </c>
      <c r="H214" s="11">
        <v>28</v>
      </c>
      <c r="I214" s="11">
        <v>55</v>
      </c>
      <c r="J214" s="19">
        <v>1830.8</v>
      </c>
      <c r="K214" s="19">
        <v>617.5</v>
      </c>
      <c r="L214" s="19">
        <f t="shared" si="17"/>
        <v>2448.3000000000002</v>
      </c>
      <c r="M214" s="19">
        <f>1846-1151</f>
        <v>695</v>
      </c>
      <c r="N214" s="16">
        <v>258.89999999999998</v>
      </c>
      <c r="O214" s="46">
        <v>1438.8</v>
      </c>
      <c r="P214" s="40" t="s">
        <v>19</v>
      </c>
    </row>
    <row r="215" spans="1:17" ht="15.75" thickBot="1">
      <c r="A215" s="126">
        <v>126</v>
      </c>
      <c r="B215" s="126" t="s">
        <v>234</v>
      </c>
      <c r="C215" s="138">
        <v>1956</v>
      </c>
      <c r="D215" s="126" t="s">
        <v>67</v>
      </c>
      <c r="E215" s="126" t="s">
        <v>226</v>
      </c>
      <c r="F215" s="126">
        <v>4</v>
      </c>
      <c r="G215" s="126">
        <v>4</v>
      </c>
      <c r="H215" s="126">
        <v>24</v>
      </c>
      <c r="I215" s="126">
        <v>62</v>
      </c>
      <c r="J215" s="128">
        <v>1388.2</v>
      </c>
      <c r="K215" s="128">
        <f>116.5+470.2</f>
        <v>586.70000000000005</v>
      </c>
      <c r="L215" s="128">
        <f t="shared" si="17"/>
        <v>1974.9</v>
      </c>
      <c r="M215" s="129">
        <f>1960-990</f>
        <v>970</v>
      </c>
      <c r="N215" s="25">
        <v>254.1</v>
      </c>
      <c r="O215" s="56">
        <v>1237.5</v>
      </c>
      <c r="P215" s="70" t="s">
        <v>19</v>
      </c>
    </row>
    <row r="216" spans="1:17" ht="16.5" thickTop="1" thickBot="1">
      <c r="A216" s="1">
        <v>126</v>
      </c>
      <c r="B216" s="1" t="s">
        <v>20</v>
      </c>
      <c r="C216" s="71"/>
      <c r="D216" s="71"/>
      <c r="E216" s="71"/>
      <c r="F216" s="71"/>
      <c r="G216" s="2">
        <f t="shared" ref="G216:O216" si="18">SUM(G90:G215)</f>
        <v>346</v>
      </c>
      <c r="H216" s="2">
        <f t="shared" si="18"/>
        <v>4725</v>
      </c>
      <c r="I216" s="2">
        <f t="shared" si="18"/>
        <v>8937</v>
      </c>
      <c r="J216" s="2">
        <f t="shared" si="18"/>
        <v>226666.10000000009</v>
      </c>
      <c r="K216" s="2">
        <f t="shared" si="18"/>
        <v>26686.499999999993</v>
      </c>
      <c r="L216" s="2">
        <f t="shared" si="18"/>
        <v>253352.6</v>
      </c>
      <c r="M216" s="2">
        <f t="shared" si="18"/>
        <v>89860.650000000038</v>
      </c>
      <c r="N216" s="2">
        <f t="shared" si="18"/>
        <v>21458.19999999999</v>
      </c>
      <c r="O216" s="2">
        <f t="shared" si="18"/>
        <v>106526.825</v>
      </c>
      <c r="P216" s="2"/>
    </row>
    <row r="217" spans="1:17">
      <c r="A217" s="1">
        <f>A88+A216</f>
        <v>164</v>
      </c>
      <c r="B217" s="1" t="s">
        <v>62</v>
      </c>
      <c r="C217" s="71"/>
      <c r="D217" s="71"/>
      <c r="E217" s="71"/>
      <c r="F217" s="71"/>
      <c r="G217" s="1">
        <f>G88+G216</f>
        <v>398</v>
      </c>
      <c r="H217" s="1">
        <f t="shared" ref="H217:O217" si="19">H88+H216</f>
        <v>5085</v>
      </c>
      <c r="I217" s="1">
        <f t="shared" si="19"/>
        <v>9801</v>
      </c>
      <c r="J217" s="1">
        <f t="shared" si="19"/>
        <v>248233.2000000001</v>
      </c>
      <c r="K217" s="1">
        <f t="shared" si="19"/>
        <v>27374.099999999991</v>
      </c>
      <c r="L217" s="1">
        <f t="shared" si="19"/>
        <v>275607.3</v>
      </c>
      <c r="M217" s="1">
        <f t="shared" si="19"/>
        <v>113086.65000000004</v>
      </c>
      <c r="N217" s="1">
        <f t="shared" si="19"/>
        <v>23419.19999999999</v>
      </c>
      <c r="O217" s="1">
        <f t="shared" si="19"/>
        <v>124578.02499999999</v>
      </c>
      <c r="P217" s="71"/>
    </row>
    <row r="218" spans="1:17">
      <c r="A218" s="1">
        <f>A47+A217</f>
        <v>187</v>
      </c>
      <c r="B218" s="1" t="s">
        <v>235</v>
      </c>
      <c r="C218" s="71"/>
      <c r="D218" s="71"/>
      <c r="E218" s="71"/>
      <c r="F218" s="71"/>
      <c r="G218" s="1">
        <f>G47+G217</f>
        <v>529</v>
      </c>
      <c r="H218" s="1">
        <f t="shared" ref="H218:O218" si="20">H47+H217</f>
        <v>6952</v>
      </c>
      <c r="I218" s="1">
        <f t="shared" si="20"/>
        <v>13990</v>
      </c>
      <c r="J218" s="1">
        <f t="shared" si="20"/>
        <v>342652.19000000006</v>
      </c>
      <c r="K218" s="1">
        <f t="shared" si="20"/>
        <v>28934.999999999993</v>
      </c>
      <c r="L218" s="1">
        <f t="shared" si="20"/>
        <v>371587.18999999994</v>
      </c>
      <c r="M218" s="1">
        <f t="shared" si="20"/>
        <v>146827.58000000002</v>
      </c>
      <c r="N218" s="1">
        <f t="shared" si="20"/>
        <v>34584.499999999985</v>
      </c>
      <c r="O218" s="1">
        <f t="shared" si="20"/>
        <v>154149.92499999999</v>
      </c>
      <c r="P218" s="71"/>
    </row>
    <row r="219" spans="1:17" ht="28.35" customHeight="1">
      <c r="A219" s="148" t="s">
        <v>265</v>
      </c>
      <c r="B219" s="148"/>
      <c r="C219" s="148"/>
      <c r="D219" s="148"/>
      <c r="E219" s="148"/>
      <c r="F219" s="148"/>
      <c r="G219" s="148"/>
      <c r="H219" s="148"/>
      <c r="I219" s="148"/>
      <c r="J219" s="148"/>
      <c r="K219" s="148"/>
      <c r="L219" s="148"/>
      <c r="M219" s="148"/>
      <c r="N219" s="148"/>
      <c r="O219" s="148"/>
      <c r="P219" s="148"/>
    </row>
    <row r="220" spans="1:17">
      <c r="A220" s="72">
        <v>1</v>
      </c>
      <c r="B220" s="72" t="s">
        <v>236</v>
      </c>
      <c r="C220" s="72">
        <v>1973</v>
      </c>
      <c r="D220" s="72" t="s">
        <v>22</v>
      </c>
      <c r="E220" s="72" t="s">
        <v>237</v>
      </c>
      <c r="F220" s="72">
        <v>5</v>
      </c>
      <c r="G220" s="72">
        <v>1</v>
      </c>
      <c r="H220" s="72">
        <v>148</v>
      </c>
      <c r="I220" s="73">
        <f>H220*1.2</f>
        <v>177.6</v>
      </c>
      <c r="J220" s="72">
        <v>2781.8</v>
      </c>
      <c r="K220" s="72">
        <v>0</v>
      </c>
      <c r="L220" s="72">
        <f>SUM(J220:K220)</f>
        <v>2781.8</v>
      </c>
      <c r="M220" s="74">
        <v>1101</v>
      </c>
      <c r="N220" s="8">
        <v>540</v>
      </c>
      <c r="O220" s="75">
        <v>895</v>
      </c>
      <c r="P220" s="75" t="s">
        <v>19</v>
      </c>
      <c r="Q220" s="76"/>
    </row>
    <row r="221" spans="1:17">
      <c r="A221" s="77">
        <v>2</v>
      </c>
      <c r="B221" s="77" t="s">
        <v>238</v>
      </c>
      <c r="C221" s="77">
        <v>1975</v>
      </c>
      <c r="D221" s="77" t="s">
        <v>22</v>
      </c>
      <c r="E221" s="77" t="s">
        <v>237</v>
      </c>
      <c r="F221" s="77">
        <v>5</v>
      </c>
      <c r="G221" s="77">
        <v>1</v>
      </c>
      <c r="H221" s="77">
        <v>148</v>
      </c>
      <c r="I221" s="77">
        <v>178</v>
      </c>
      <c r="J221" s="77">
        <v>2681.1</v>
      </c>
      <c r="K221" s="77">
        <v>0</v>
      </c>
      <c r="L221" s="77">
        <f>SUM(J221:K221)</f>
        <v>2681.1</v>
      </c>
      <c r="M221" s="78">
        <v>1098</v>
      </c>
      <c r="N221" s="25">
        <v>538.20000000000005</v>
      </c>
      <c r="O221" s="79">
        <v>895</v>
      </c>
      <c r="P221" s="75" t="s">
        <v>19</v>
      </c>
    </row>
    <row r="222" spans="1:17" ht="15.75" thickBot="1">
      <c r="A222" s="27">
        <v>2</v>
      </c>
      <c r="B222" s="63" t="s">
        <v>20</v>
      </c>
      <c r="C222" s="28"/>
      <c r="D222" s="28"/>
      <c r="E222" s="28"/>
      <c r="F222" s="28"/>
      <c r="G222" s="80">
        <f>SUM(G220:G221)</f>
        <v>2</v>
      </c>
      <c r="H222" s="80">
        <f t="shared" ref="H222:O222" si="21">SUM(H220:H221)</f>
        <v>296</v>
      </c>
      <c r="I222" s="81">
        <f t="shared" si="21"/>
        <v>355.6</v>
      </c>
      <c r="J222" s="80">
        <f t="shared" si="21"/>
        <v>5462.9</v>
      </c>
      <c r="K222" s="80">
        <f t="shared" si="21"/>
        <v>0</v>
      </c>
      <c r="L222" s="80">
        <f t="shared" si="21"/>
        <v>5462.9</v>
      </c>
      <c r="M222" s="82">
        <f t="shared" si="21"/>
        <v>2199</v>
      </c>
      <c r="N222" s="34">
        <f t="shared" si="21"/>
        <v>1078.2</v>
      </c>
      <c r="O222" s="34">
        <f t="shared" si="21"/>
        <v>1790</v>
      </c>
      <c r="P222" s="83"/>
    </row>
    <row r="223" spans="1:17" ht="28.35" customHeight="1" thickBot="1">
      <c r="A223" s="148" t="s">
        <v>239</v>
      </c>
      <c r="B223" s="148"/>
      <c r="C223" s="148"/>
      <c r="D223" s="148"/>
      <c r="E223" s="148"/>
      <c r="F223" s="148"/>
      <c r="G223" s="148"/>
      <c r="H223" s="148"/>
      <c r="I223" s="148"/>
      <c r="J223" s="148"/>
      <c r="K223" s="148"/>
      <c r="L223" s="148"/>
      <c r="M223" s="148"/>
      <c r="N223" s="148"/>
      <c r="O223" s="148"/>
      <c r="P223" s="148"/>
    </row>
    <row r="224" spans="1:17">
      <c r="A224" s="126">
        <v>1</v>
      </c>
      <c r="B224" s="126" t="s">
        <v>240</v>
      </c>
      <c r="C224" s="126">
        <v>1984</v>
      </c>
      <c r="D224" s="126" t="s">
        <v>42</v>
      </c>
      <c r="E224" s="126" t="s">
        <v>18</v>
      </c>
      <c r="F224" s="126">
        <v>3</v>
      </c>
      <c r="G224" s="127">
        <v>2</v>
      </c>
      <c r="H224" s="127">
        <v>24</v>
      </c>
      <c r="I224" s="127">
        <v>73</v>
      </c>
      <c r="J224" s="128">
        <v>1186</v>
      </c>
      <c r="K224" s="128">
        <v>0</v>
      </c>
      <c r="L224" s="128">
        <f>J224+K224</f>
        <v>1186</v>
      </c>
      <c r="M224" s="129">
        <f>2254-816.87</f>
        <v>1437.13</v>
      </c>
      <c r="N224" s="8">
        <v>88.9</v>
      </c>
      <c r="O224" s="75">
        <v>566</v>
      </c>
      <c r="P224" s="47" t="s">
        <v>19</v>
      </c>
    </row>
    <row r="225" spans="1:16">
      <c r="A225" s="11">
        <v>2</v>
      </c>
      <c r="B225" s="11" t="s">
        <v>241</v>
      </c>
      <c r="C225" s="11">
        <v>1985</v>
      </c>
      <c r="D225" s="11" t="s">
        <v>42</v>
      </c>
      <c r="E225" s="11" t="s">
        <v>18</v>
      </c>
      <c r="F225" s="11">
        <v>3</v>
      </c>
      <c r="G225" s="141">
        <v>2</v>
      </c>
      <c r="H225" s="141">
        <v>24</v>
      </c>
      <c r="I225" s="141">
        <v>69</v>
      </c>
      <c r="J225" s="19">
        <v>1232</v>
      </c>
      <c r="K225" s="19">
        <v>0</v>
      </c>
      <c r="L225" s="19">
        <f>J225+K225</f>
        <v>1232</v>
      </c>
      <c r="M225" s="19">
        <f>2254-816.87</f>
        <v>1437.13</v>
      </c>
      <c r="N225" s="16">
        <v>90.1</v>
      </c>
      <c r="O225" s="84">
        <v>560</v>
      </c>
      <c r="P225" s="47" t="s">
        <v>19</v>
      </c>
    </row>
    <row r="226" spans="1:16" ht="15.75" thickBot="1">
      <c r="A226" s="126">
        <v>3</v>
      </c>
      <c r="B226" s="126" t="s">
        <v>242</v>
      </c>
      <c r="C226" s="126">
        <v>1986</v>
      </c>
      <c r="D226" s="126" t="s">
        <v>42</v>
      </c>
      <c r="E226" s="126" t="s">
        <v>18</v>
      </c>
      <c r="F226" s="126">
        <v>3</v>
      </c>
      <c r="G226" s="127">
        <v>2</v>
      </c>
      <c r="H226" s="127">
        <v>24</v>
      </c>
      <c r="I226" s="127">
        <v>73</v>
      </c>
      <c r="J226" s="128">
        <v>1225</v>
      </c>
      <c r="K226" s="128">
        <v>0</v>
      </c>
      <c r="L226" s="128">
        <f>J226+K226</f>
        <v>1225</v>
      </c>
      <c r="M226" s="129">
        <f>2254-816.87</f>
        <v>1437.13</v>
      </c>
      <c r="N226" s="25">
        <v>114.9</v>
      </c>
      <c r="O226" s="79">
        <v>534</v>
      </c>
      <c r="P226" s="47" t="s">
        <v>19</v>
      </c>
    </row>
    <row r="227" spans="1:16" ht="15.75" thickBot="1">
      <c r="A227" s="27">
        <v>3</v>
      </c>
      <c r="B227" s="63" t="s">
        <v>20</v>
      </c>
      <c r="C227" s="28"/>
      <c r="D227" s="28"/>
      <c r="E227" s="28"/>
      <c r="F227" s="28"/>
      <c r="G227" s="63">
        <f t="shared" ref="G227:O227" si="22">SUM(G224:G226)</f>
        <v>6</v>
      </c>
      <c r="H227" s="63">
        <f t="shared" si="22"/>
        <v>72</v>
      </c>
      <c r="I227" s="63">
        <f t="shared" si="22"/>
        <v>215</v>
      </c>
      <c r="J227" s="86">
        <f t="shared" si="22"/>
        <v>3643</v>
      </c>
      <c r="K227" s="86">
        <f t="shared" si="22"/>
        <v>0</v>
      </c>
      <c r="L227" s="86">
        <f t="shared" si="22"/>
        <v>3643</v>
      </c>
      <c r="M227" s="87">
        <f t="shared" si="22"/>
        <v>4311.3900000000003</v>
      </c>
      <c r="N227" s="88">
        <f t="shared" si="22"/>
        <v>293.89999999999998</v>
      </c>
      <c r="O227" s="88">
        <f t="shared" si="22"/>
        <v>1660</v>
      </c>
      <c r="P227" s="64"/>
    </row>
    <row r="228" spans="1:16">
      <c r="A228" s="89">
        <f>A13+A15+A218+A222+A227</f>
        <v>200</v>
      </c>
      <c r="B228" s="90" t="s">
        <v>243</v>
      </c>
      <c r="C228" s="91"/>
      <c r="D228" s="91"/>
      <c r="E228" s="91"/>
      <c r="F228" s="91"/>
      <c r="G228" s="118">
        <f>G13+G16+G218+G222+G227</f>
        <v>560</v>
      </c>
      <c r="H228" s="118">
        <f t="shared" ref="H228:O228" si="23">H13+H16+H218+H222+H227</f>
        <v>8064</v>
      </c>
      <c r="I228" s="118">
        <f t="shared" si="23"/>
        <v>16489.599999999999</v>
      </c>
      <c r="J228" s="118">
        <f t="shared" si="23"/>
        <v>391168.01000000007</v>
      </c>
      <c r="K228" s="118">
        <f t="shared" si="23"/>
        <v>29863.199999999993</v>
      </c>
      <c r="L228" s="118">
        <f t="shared" si="23"/>
        <v>421031.20999999996</v>
      </c>
      <c r="M228" s="118">
        <f t="shared" si="23"/>
        <v>162666.89000000004</v>
      </c>
      <c r="N228" s="118">
        <f>N13+N16+N218+N222+N227</f>
        <v>43282.599999999984</v>
      </c>
      <c r="O228" s="118">
        <f t="shared" si="23"/>
        <v>164783.32499999998</v>
      </c>
      <c r="P228" s="92"/>
    </row>
    <row r="230" spans="1:16">
      <c r="G230" s="120"/>
    </row>
  </sheetData>
  <mergeCells count="29">
    <mergeCell ref="A49:P49"/>
    <mergeCell ref="A89:P89"/>
    <mergeCell ref="A219:P219"/>
    <mergeCell ref="A223:P223"/>
    <mergeCell ref="A17:P17"/>
    <mergeCell ref="A18:P18"/>
    <mergeCell ref="A23:P23"/>
    <mergeCell ref="A31:P31"/>
    <mergeCell ref="A48:P48"/>
    <mergeCell ref="A5:P5"/>
    <mergeCell ref="A14:P14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O2"/>
    <mergeCell ref="P2:P4"/>
    <mergeCell ref="J3:J4"/>
    <mergeCell ref="K3:K4"/>
    <mergeCell ref="L3:L4"/>
    <mergeCell ref="M3:M4"/>
    <mergeCell ref="N3:N4"/>
    <mergeCell ref="O3:O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28"/>
  <sheetViews>
    <sheetView tabSelected="1" workbookViewId="0">
      <selection sqref="A1:R1"/>
    </sheetView>
  </sheetViews>
  <sheetFormatPr defaultRowHeight="15"/>
  <cols>
    <col min="1" max="1" width="4" bestFit="1" customWidth="1"/>
    <col min="2" max="2" width="19.42578125" customWidth="1"/>
    <col min="3" max="3" width="3.5703125"/>
    <col min="4" max="4" width="5.5703125" customWidth="1"/>
    <col min="5" max="15" width="6.5703125"/>
    <col min="16" max="16" width="9" customWidth="1"/>
    <col min="17" max="17" width="7.42578125" customWidth="1"/>
    <col min="18" max="18" width="7.42578125"/>
    <col min="19" max="1025" width="8.5703125"/>
  </cols>
  <sheetData>
    <row r="1" spans="1:18">
      <c r="A1" s="159" t="s">
        <v>271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18" ht="13.9" customHeight="1">
      <c r="A2" s="160" t="s">
        <v>244</v>
      </c>
      <c r="B2" s="160" t="s">
        <v>1</v>
      </c>
      <c r="C2" s="160" t="s">
        <v>245</v>
      </c>
      <c r="D2" s="160" t="s">
        <v>6</v>
      </c>
      <c r="E2" s="160" t="s">
        <v>246</v>
      </c>
      <c r="F2" s="160" t="s">
        <v>247</v>
      </c>
      <c r="G2" s="160" t="s">
        <v>248</v>
      </c>
      <c r="H2" s="160" t="s">
        <v>249</v>
      </c>
      <c r="I2" s="160" t="s">
        <v>250</v>
      </c>
      <c r="J2" s="160" t="s">
        <v>251</v>
      </c>
      <c r="K2" s="160" t="s">
        <v>252</v>
      </c>
      <c r="L2" s="160" t="s">
        <v>253</v>
      </c>
      <c r="M2" s="160" t="s">
        <v>254</v>
      </c>
      <c r="N2" s="160" t="s">
        <v>255</v>
      </c>
      <c r="O2" s="160" t="s">
        <v>256</v>
      </c>
      <c r="P2" s="161" t="s">
        <v>257</v>
      </c>
      <c r="Q2" s="161"/>
      <c r="R2" s="161"/>
    </row>
    <row r="3" spans="1:18" ht="28.35" customHeight="1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1"/>
      <c r="Q3" s="161"/>
      <c r="R3" s="161"/>
    </row>
    <row r="4" spans="1:18" ht="110.4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93" t="s">
        <v>258</v>
      </c>
      <c r="Q4" s="93" t="s">
        <v>259</v>
      </c>
      <c r="R4" s="93" t="s">
        <v>260</v>
      </c>
    </row>
    <row r="5" spans="1:18" ht="33" customHeight="1">
      <c r="A5" s="162" t="s">
        <v>268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4"/>
      <c r="R5" s="165"/>
    </row>
    <row r="6" spans="1:18">
      <c r="A6" s="11" t="s">
        <v>269</v>
      </c>
      <c r="B6" s="11" t="s">
        <v>21</v>
      </c>
      <c r="C6" s="11">
        <v>9</v>
      </c>
      <c r="D6" s="11">
        <v>3</v>
      </c>
      <c r="E6" s="95">
        <f t="shared" ref="E6:E12" si="0">92.6*D6</f>
        <v>277.79999999999995</v>
      </c>
      <c r="F6" s="96">
        <f t="shared" ref="F6:F12" si="1">4*D6</f>
        <v>12</v>
      </c>
      <c r="G6" s="96">
        <f t="shared" ref="G6:G12" si="2">25*D6</f>
        <v>75</v>
      </c>
      <c r="H6" s="96">
        <f t="shared" ref="H6:H12" si="3">2*C6*D6</f>
        <v>54</v>
      </c>
      <c r="I6" s="97">
        <f t="shared" ref="I6:I12" si="4">8.2*D6</f>
        <v>24.599999999999998</v>
      </c>
      <c r="J6" s="97">
        <f t="shared" ref="J6:J12" si="5">1.1*D6</f>
        <v>3.3000000000000003</v>
      </c>
      <c r="K6" s="97">
        <f t="shared" ref="K6:K12" si="6">10.8*D6</f>
        <v>32.400000000000006</v>
      </c>
      <c r="L6" s="97">
        <f t="shared" ref="L6:L12" si="7">8.9*D6</f>
        <v>26.700000000000003</v>
      </c>
      <c r="M6" s="97">
        <f t="shared" ref="M6:M12" si="8">1*D6</f>
        <v>3</v>
      </c>
      <c r="N6" s="98"/>
      <c r="O6" s="95">
        <f t="shared" ref="O6:O12" si="9">7.98*D6</f>
        <v>23.94</v>
      </c>
      <c r="P6" s="98">
        <v>1083.5</v>
      </c>
      <c r="Q6" s="95">
        <f t="shared" ref="Q6:Q12" si="10">P6/C6*2</f>
        <v>240.77777777777777</v>
      </c>
      <c r="R6" s="95">
        <f t="shared" ref="R6:R12" si="11">P6-Q6</f>
        <v>842.72222222222217</v>
      </c>
    </row>
    <row r="7" spans="1:18">
      <c r="A7" s="11">
        <v>2</v>
      </c>
      <c r="B7" s="11" t="s">
        <v>23</v>
      </c>
      <c r="C7" s="14">
        <v>9</v>
      </c>
      <c r="D7" s="14">
        <v>3</v>
      </c>
      <c r="E7" s="95">
        <f t="shared" si="0"/>
        <v>277.79999999999995</v>
      </c>
      <c r="F7" s="96">
        <f t="shared" si="1"/>
        <v>12</v>
      </c>
      <c r="G7" s="96">
        <f t="shared" si="2"/>
        <v>75</v>
      </c>
      <c r="H7" s="96">
        <f t="shared" si="3"/>
        <v>54</v>
      </c>
      <c r="I7" s="97">
        <f t="shared" si="4"/>
        <v>24.599999999999998</v>
      </c>
      <c r="J7" s="97">
        <f t="shared" si="5"/>
        <v>3.3000000000000003</v>
      </c>
      <c r="K7" s="97">
        <f t="shared" si="6"/>
        <v>32.400000000000006</v>
      </c>
      <c r="L7" s="97">
        <f t="shared" si="7"/>
        <v>26.700000000000003</v>
      </c>
      <c r="M7" s="97">
        <f t="shared" si="8"/>
        <v>3</v>
      </c>
      <c r="N7" s="98"/>
      <c r="O7" s="95">
        <f t="shared" si="9"/>
        <v>23.94</v>
      </c>
      <c r="P7" s="98">
        <v>940.3</v>
      </c>
      <c r="Q7" s="95">
        <f t="shared" si="10"/>
        <v>208.95555555555555</v>
      </c>
      <c r="R7" s="95">
        <f t="shared" si="11"/>
        <v>731.34444444444443</v>
      </c>
    </row>
    <row r="8" spans="1:18">
      <c r="A8" s="11">
        <v>3</v>
      </c>
      <c r="B8" s="11" t="s">
        <v>25</v>
      </c>
      <c r="C8" s="11">
        <v>9</v>
      </c>
      <c r="D8" s="11">
        <v>3</v>
      </c>
      <c r="E8" s="95">
        <f t="shared" si="0"/>
        <v>277.79999999999995</v>
      </c>
      <c r="F8" s="96">
        <f t="shared" si="1"/>
        <v>12</v>
      </c>
      <c r="G8" s="96">
        <f t="shared" si="2"/>
        <v>75</v>
      </c>
      <c r="H8" s="96">
        <f t="shared" si="3"/>
        <v>54</v>
      </c>
      <c r="I8" s="97">
        <f t="shared" si="4"/>
        <v>24.599999999999998</v>
      </c>
      <c r="J8" s="97">
        <f t="shared" si="5"/>
        <v>3.3000000000000003</v>
      </c>
      <c r="K8" s="97">
        <f t="shared" si="6"/>
        <v>32.400000000000006</v>
      </c>
      <c r="L8" s="97">
        <f t="shared" si="7"/>
        <v>26.700000000000003</v>
      </c>
      <c r="M8" s="97">
        <f t="shared" si="8"/>
        <v>3</v>
      </c>
      <c r="N8" s="98"/>
      <c r="O8" s="95">
        <f t="shared" si="9"/>
        <v>23.94</v>
      </c>
      <c r="P8" s="98">
        <v>1066.5</v>
      </c>
      <c r="Q8" s="95">
        <f t="shared" si="10"/>
        <v>237</v>
      </c>
      <c r="R8" s="95">
        <f t="shared" si="11"/>
        <v>829.5</v>
      </c>
    </row>
    <row r="9" spans="1:18">
      <c r="A9" s="11">
        <v>4</v>
      </c>
      <c r="B9" s="11" t="s">
        <v>27</v>
      </c>
      <c r="C9" s="11">
        <v>9</v>
      </c>
      <c r="D9" s="11">
        <v>3</v>
      </c>
      <c r="E9" s="95">
        <f t="shared" si="0"/>
        <v>277.79999999999995</v>
      </c>
      <c r="F9" s="96">
        <f t="shared" si="1"/>
        <v>12</v>
      </c>
      <c r="G9" s="96">
        <f t="shared" si="2"/>
        <v>75</v>
      </c>
      <c r="H9" s="96">
        <f t="shared" si="3"/>
        <v>54</v>
      </c>
      <c r="I9" s="97">
        <f t="shared" si="4"/>
        <v>24.599999999999998</v>
      </c>
      <c r="J9" s="97">
        <f t="shared" si="5"/>
        <v>3.3000000000000003</v>
      </c>
      <c r="K9" s="97">
        <f t="shared" si="6"/>
        <v>32.400000000000006</v>
      </c>
      <c r="L9" s="97">
        <f t="shared" si="7"/>
        <v>26.700000000000003</v>
      </c>
      <c r="M9" s="97">
        <f t="shared" si="8"/>
        <v>3</v>
      </c>
      <c r="N9" s="98"/>
      <c r="O9" s="95">
        <f t="shared" si="9"/>
        <v>23.94</v>
      </c>
      <c r="P9" s="98">
        <v>1062</v>
      </c>
      <c r="Q9" s="95">
        <f t="shared" si="10"/>
        <v>236</v>
      </c>
      <c r="R9" s="95">
        <f t="shared" si="11"/>
        <v>826</v>
      </c>
    </row>
    <row r="10" spans="1:18">
      <c r="A10" s="11">
        <v>5</v>
      </c>
      <c r="B10" s="11" t="s">
        <v>28</v>
      </c>
      <c r="C10" s="11">
        <v>9</v>
      </c>
      <c r="D10" s="11">
        <v>3</v>
      </c>
      <c r="E10" s="95">
        <f t="shared" si="0"/>
        <v>277.79999999999995</v>
      </c>
      <c r="F10" s="96">
        <f t="shared" si="1"/>
        <v>12</v>
      </c>
      <c r="G10" s="96">
        <f t="shared" si="2"/>
        <v>75</v>
      </c>
      <c r="H10" s="96">
        <f t="shared" si="3"/>
        <v>54</v>
      </c>
      <c r="I10" s="97">
        <f t="shared" si="4"/>
        <v>24.599999999999998</v>
      </c>
      <c r="J10" s="97">
        <f t="shared" si="5"/>
        <v>3.3000000000000003</v>
      </c>
      <c r="K10" s="97">
        <f t="shared" si="6"/>
        <v>32.400000000000006</v>
      </c>
      <c r="L10" s="97">
        <f t="shared" si="7"/>
        <v>26.700000000000003</v>
      </c>
      <c r="M10" s="97">
        <f t="shared" si="8"/>
        <v>3</v>
      </c>
      <c r="N10" s="98"/>
      <c r="O10" s="95">
        <f t="shared" si="9"/>
        <v>23.94</v>
      </c>
      <c r="P10" s="98">
        <v>1065.4000000000001</v>
      </c>
      <c r="Q10" s="95">
        <f t="shared" si="10"/>
        <v>236.75555555555559</v>
      </c>
      <c r="R10" s="95">
        <f t="shared" si="11"/>
        <v>828.6444444444445</v>
      </c>
    </row>
    <row r="11" spans="1:18">
      <c r="A11" s="11">
        <v>6</v>
      </c>
      <c r="B11" s="11" t="s">
        <v>29</v>
      </c>
      <c r="C11" s="11">
        <v>9</v>
      </c>
      <c r="D11" s="11">
        <v>3</v>
      </c>
      <c r="E11" s="95">
        <f t="shared" si="0"/>
        <v>277.79999999999995</v>
      </c>
      <c r="F11" s="96">
        <f t="shared" si="1"/>
        <v>12</v>
      </c>
      <c r="G11" s="96">
        <f t="shared" si="2"/>
        <v>75</v>
      </c>
      <c r="H11" s="96">
        <f t="shared" si="3"/>
        <v>54</v>
      </c>
      <c r="I11" s="97">
        <f t="shared" si="4"/>
        <v>24.599999999999998</v>
      </c>
      <c r="J11" s="97">
        <f t="shared" si="5"/>
        <v>3.3000000000000003</v>
      </c>
      <c r="K11" s="97">
        <f t="shared" si="6"/>
        <v>32.400000000000006</v>
      </c>
      <c r="L11" s="97">
        <f t="shared" si="7"/>
        <v>26.700000000000003</v>
      </c>
      <c r="M11" s="97">
        <f t="shared" si="8"/>
        <v>3</v>
      </c>
      <c r="N11" s="98"/>
      <c r="O11" s="95">
        <f t="shared" si="9"/>
        <v>23.94</v>
      </c>
      <c r="P11" s="98">
        <v>1085.5999999999999</v>
      </c>
      <c r="Q11" s="95">
        <f t="shared" si="10"/>
        <v>241.24444444444441</v>
      </c>
      <c r="R11" s="95">
        <f t="shared" si="11"/>
        <v>844.3555555555555</v>
      </c>
    </row>
    <row r="12" spans="1:18">
      <c r="A12" s="11">
        <v>7</v>
      </c>
      <c r="B12" s="11" t="s">
        <v>30</v>
      </c>
      <c r="C12" s="11">
        <v>9</v>
      </c>
      <c r="D12" s="11">
        <v>3</v>
      </c>
      <c r="E12" s="95">
        <f t="shared" si="0"/>
        <v>277.79999999999995</v>
      </c>
      <c r="F12" s="96">
        <f t="shared" si="1"/>
        <v>12</v>
      </c>
      <c r="G12" s="96">
        <f t="shared" si="2"/>
        <v>75</v>
      </c>
      <c r="H12" s="96">
        <f t="shared" si="3"/>
        <v>54</v>
      </c>
      <c r="I12" s="97">
        <f t="shared" si="4"/>
        <v>24.599999999999998</v>
      </c>
      <c r="J12" s="97">
        <f t="shared" si="5"/>
        <v>3.3000000000000003</v>
      </c>
      <c r="K12" s="97">
        <f t="shared" si="6"/>
        <v>32.400000000000006</v>
      </c>
      <c r="L12" s="97">
        <f t="shared" si="7"/>
        <v>26.700000000000003</v>
      </c>
      <c r="M12" s="97">
        <f t="shared" si="8"/>
        <v>3</v>
      </c>
      <c r="N12" s="98"/>
      <c r="O12" s="95">
        <f t="shared" si="9"/>
        <v>23.94</v>
      </c>
      <c r="P12" s="98">
        <v>1022.7</v>
      </c>
      <c r="Q12" s="95">
        <f t="shared" si="10"/>
        <v>227.26666666666668</v>
      </c>
      <c r="R12" s="95">
        <f t="shared" si="11"/>
        <v>795.43333333333339</v>
      </c>
    </row>
    <row r="13" spans="1:18">
      <c r="A13" s="41">
        <v>7</v>
      </c>
      <c r="B13" s="41" t="s">
        <v>20</v>
      </c>
      <c r="C13" s="41"/>
      <c r="D13" s="41">
        <f t="shared" ref="D13:R13" si="12">SUM(D6:D12)</f>
        <v>21</v>
      </c>
      <c r="E13" s="41">
        <f t="shared" si="12"/>
        <v>1944.5999999999997</v>
      </c>
      <c r="F13" s="41">
        <f t="shared" si="12"/>
        <v>84</v>
      </c>
      <c r="G13" s="41">
        <f t="shared" si="12"/>
        <v>525</v>
      </c>
      <c r="H13" s="41">
        <f t="shared" si="12"/>
        <v>378</v>
      </c>
      <c r="I13" s="41">
        <f t="shared" si="12"/>
        <v>172.2</v>
      </c>
      <c r="J13" s="41">
        <f t="shared" si="12"/>
        <v>23.1</v>
      </c>
      <c r="K13" s="41">
        <f t="shared" si="12"/>
        <v>226.80000000000004</v>
      </c>
      <c r="L13" s="41">
        <f t="shared" si="12"/>
        <v>186.89999999999998</v>
      </c>
      <c r="M13" s="41">
        <f t="shared" si="12"/>
        <v>21</v>
      </c>
      <c r="N13" s="41">
        <f t="shared" si="12"/>
        <v>0</v>
      </c>
      <c r="O13" s="41">
        <f t="shared" si="12"/>
        <v>167.58</v>
      </c>
      <c r="P13" s="41">
        <f t="shared" si="12"/>
        <v>7326.0000000000009</v>
      </c>
      <c r="Q13" s="41">
        <f t="shared" si="12"/>
        <v>1628.0000000000002</v>
      </c>
      <c r="R13" s="41">
        <f t="shared" si="12"/>
        <v>5698</v>
      </c>
    </row>
    <row r="14" spans="1:18" ht="21.75" customHeight="1">
      <c r="A14" s="166" t="s">
        <v>270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</row>
    <row r="15" spans="1:18">
      <c r="A15" s="51">
        <v>1</v>
      </c>
      <c r="B15" s="51" t="s">
        <v>31</v>
      </c>
      <c r="C15" s="51">
        <v>2</v>
      </c>
      <c r="D15" s="51">
        <v>2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/>
      <c r="N15" s="51"/>
      <c r="O15" s="51"/>
      <c r="P15" s="51"/>
      <c r="Q15" s="51"/>
      <c r="R15" s="51"/>
    </row>
    <row r="16" spans="1:18">
      <c r="A16" s="1">
        <v>1</v>
      </c>
      <c r="B16" s="1" t="s">
        <v>20</v>
      </c>
      <c r="C16" s="1"/>
      <c r="D16" s="1">
        <f t="shared" ref="D16:R16" si="13">SUM(D15:D15)</f>
        <v>2</v>
      </c>
      <c r="E16" s="1">
        <f t="shared" si="13"/>
        <v>0</v>
      </c>
      <c r="F16" s="1">
        <f t="shared" si="13"/>
        <v>0</v>
      </c>
      <c r="G16" s="1">
        <f t="shared" si="13"/>
        <v>0</v>
      </c>
      <c r="H16" s="1">
        <f t="shared" si="13"/>
        <v>0</v>
      </c>
      <c r="I16" s="1">
        <f t="shared" si="13"/>
        <v>0</v>
      </c>
      <c r="J16" s="1">
        <f t="shared" si="13"/>
        <v>0</v>
      </c>
      <c r="K16" s="1">
        <f t="shared" si="13"/>
        <v>0</v>
      </c>
      <c r="L16" s="1">
        <f t="shared" si="13"/>
        <v>0</v>
      </c>
      <c r="M16" s="1">
        <f t="shared" si="13"/>
        <v>0</v>
      </c>
      <c r="N16" s="1">
        <f t="shared" si="13"/>
        <v>0</v>
      </c>
      <c r="O16" s="1">
        <f t="shared" si="13"/>
        <v>0</v>
      </c>
      <c r="P16" s="1">
        <f t="shared" si="13"/>
        <v>0</v>
      </c>
      <c r="Q16" s="1">
        <f t="shared" si="13"/>
        <v>0</v>
      </c>
      <c r="R16" s="1">
        <f t="shared" si="13"/>
        <v>0</v>
      </c>
    </row>
    <row r="17" spans="1:18" ht="28.35" customHeight="1">
      <c r="A17" s="148" t="s">
        <v>266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</row>
    <row r="18" spans="1:18">
      <c r="A18" s="167" t="s">
        <v>35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</row>
    <row r="19" spans="1:18">
      <c r="A19" s="51">
        <v>1</v>
      </c>
      <c r="B19" s="42" t="s">
        <v>36</v>
      </c>
      <c r="C19" s="99">
        <v>3</v>
      </c>
      <c r="D19" s="99">
        <v>2</v>
      </c>
      <c r="E19" s="100">
        <f>3.86*C19*D19</f>
        <v>23.16</v>
      </c>
      <c r="F19" s="100">
        <f>4*D19</f>
        <v>8</v>
      </c>
      <c r="G19" s="100">
        <f>4.5*C19*D19</f>
        <v>27</v>
      </c>
      <c r="H19" s="100">
        <f>1*C19*D19+1*D19</f>
        <v>8</v>
      </c>
      <c r="I19" s="100">
        <f>0.5*C19*D19</f>
        <v>3</v>
      </c>
      <c r="J19" s="100">
        <f>0.55*C19*D19</f>
        <v>3.3000000000000003</v>
      </c>
      <c r="K19" s="100">
        <f>1.66*C19*D19</f>
        <v>9.9599999999999991</v>
      </c>
      <c r="L19" s="100">
        <f>0.95*C19*D19</f>
        <v>5.6999999999999993</v>
      </c>
      <c r="M19" s="101"/>
      <c r="N19" s="102"/>
      <c r="O19" s="103"/>
      <c r="P19" s="102">
        <v>107</v>
      </c>
      <c r="Q19" s="104">
        <f>P19/C19*2</f>
        <v>71.333333333333329</v>
      </c>
      <c r="R19" s="104">
        <f>P19-Q19</f>
        <v>35.666666666666671</v>
      </c>
    </row>
    <row r="20" spans="1:18">
      <c r="A20" s="51">
        <v>2</v>
      </c>
      <c r="B20" s="42" t="s">
        <v>37</v>
      </c>
      <c r="C20" s="99">
        <v>3</v>
      </c>
      <c r="D20" s="99">
        <v>2</v>
      </c>
      <c r="E20" s="100">
        <f>3.86*C20*D20</f>
        <v>23.16</v>
      </c>
      <c r="F20" s="100">
        <f>4*D20</f>
        <v>8</v>
      </c>
      <c r="G20" s="100">
        <f>4.5*C20*D20</f>
        <v>27</v>
      </c>
      <c r="H20" s="100">
        <f>1*C20*D20+1*D20</f>
        <v>8</v>
      </c>
      <c r="I20" s="100">
        <f>0.5*C20*D20</f>
        <v>3</v>
      </c>
      <c r="J20" s="100">
        <f>0.55*C20*D20</f>
        <v>3.3000000000000003</v>
      </c>
      <c r="K20" s="100">
        <f>1.66*C20*D20</f>
        <v>9.9599999999999991</v>
      </c>
      <c r="L20" s="100">
        <f>0.95*C20*D20</f>
        <v>5.6999999999999993</v>
      </c>
      <c r="M20" s="101"/>
      <c r="N20" s="102"/>
      <c r="O20" s="103"/>
      <c r="P20" s="102">
        <v>116.2</v>
      </c>
      <c r="Q20" s="104">
        <f>P20/C20*2</f>
        <v>77.466666666666669</v>
      </c>
      <c r="R20" s="104">
        <f>P20-Q20</f>
        <v>38.733333333333334</v>
      </c>
    </row>
    <row r="21" spans="1:18">
      <c r="A21" s="94">
        <v>3</v>
      </c>
      <c r="B21" s="11" t="s">
        <v>38</v>
      </c>
      <c r="C21" s="11">
        <v>4</v>
      </c>
      <c r="D21" s="11">
        <v>2</v>
      </c>
      <c r="E21" s="104">
        <f>3.86*C21*D21</f>
        <v>30.88</v>
      </c>
      <c r="F21" s="104">
        <f>4*D21</f>
        <v>8</v>
      </c>
      <c r="G21" s="104">
        <f>4.5*C21*D21</f>
        <v>36</v>
      </c>
      <c r="H21" s="104">
        <f>1*C21*D21+1*D21</f>
        <v>10</v>
      </c>
      <c r="I21" s="104">
        <f>0.5*C21*D21</f>
        <v>4</v>
      </c>
      <c r="J21" s="104">
        <f>0.55*C21*D21</f>
        <v>4.4000000000000004</v>
      </c>
      <c r="K21" s="104">
        <f>1.66*C21*D21</f>
        <v>13.28</v>
      </c>
      <c r="L21" s="104">
        <f>0.95*C21*D21</f>
        <v>7.6</v>
      </c>
      <c r="M21" s="104"/>
      <c r="N21" s="104"/>
      <c r="O21" s="104"/>
      <c r="P21" s="100">
        <v>99.1</v>
      </c>
      <c r="Q21" s="104">
        <f>P21/C21*2</f>
        <v>49.55</v>
      </c>
      <c r="R21" s="104">
        <f>P21-Q21</f>
        <v>49.55</v>
      </c>
    </row>
    <row r="22" spans="1:18">
      <c r="A22" s="1">
        <v>3</v>
      </c>
      <c r="B22" s="1" t="s">
        <v>20</v>
      </c>
      <c r="C22" s="1"/>
      <c r="D22" s="1">
        <f t="shared" ref="D22:R22" si="14">SUM(D19:D21)</f>
        <v>6</v>
      </c>
      <c r="E22" s="1">
        <f t="shared" si="14"/>
        <v>77.2</v>
      </c>
      <c r="F22" s="1">
        <f t="shared" si="14"/>
        <v>24</v>
      </c>
      <c r="G22" s="1">
        <f t="shared" si="14"/>
        <v>90</v>
      </c>
      <c r="H22" s="1">
        <f t="shared" si="14"/>
        <v>26</v>
      </c>
      <c r="I22" s="1">
        <f t="shared" si="14"/>
        <v>10</v>
      </c>
      <c r="J22" s="1">
        <f t="shared" si="14"/>
        <v>11</v>
      </c>
      <c r="K22" s="1">
        <f t="shared" si="14"/>
        <v>33.199999999999996</v>
      </c>
      <c r="L22" s="1">
        <f t="shared" si="14"/>
        <v>19</v>
      </c>
      <c r="M22" s="1">
        <f t="shared" si="14"/>
        <v>0</v>
      </c>
      <c r="N22" s="1">
        <f t="shared" si="14"/>
        <v>0</v>
      </c>
      <c r="O22" s="1">
        <f t="shared" si="14"/>
        <v>0</v>
      </c>
      <c r="P22" s="1">
        <f t="shared" si="14"/>
        <v>322.29999999999995</v>
      </c>
      <c r="Q22" s="1">
        <f t="shared" si="14"/>
        <v>198.35000000000002</v>
      </c>
      <c r="R22" s="1">
        <f t="shared" si="14"/>
        <v>123.95</v>
      </c>
    </row>
    <row r="23" spans="1:18">
      <c r="A23" s="168" t="s">
        <v>261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</row>
    <row r="24" spans="1:18">
      <c r="A24" s="94">
        <v>1</v>
      </c>
      <c r="B24" s="11" t="s">
        <v>40</v>
      </c>
      <c r="C24" s="11">
        <v>5</v>
      </c>
      <c r="D24" s="11">
        <v>9</v>
      </c>
      <c r="E24" s="104">
        <f t="shared" ref="E24:E29" si="15">3.86*C24*D24</f>
        <v>173.70000000000002</v>
      </c>
      <c r="F24" s="104">
        <f t="shared" ref="F24:F29" si="16">4*D24</f>
        <v>36</v>
      </c>
      <c r="G24" s="104">
        <f t="shared" ref="G24:G29" si="17">4.5*C24*D24</f>
        <v>202.5</v>
      </c>
      <c r="H24" s="104">
        <f t="shared" ref="H24:H29" si="18">1*C24*D24+1*D24</f>
        <v>54</v>
      </c>
      <c r="I24" s="104">
        <f t="shared" ref="I24:I29" si="19">0.5*C24*D24</f>
        <v>22.5</v>
      </c>
      <c r="J24" s="104">
        <f t="shared" ref="J24:J29" si="20">0.55*C24*D24</f>
        <v>24.75</v>
      </c>
      <c r="K24" s="104">
        <f t="shared" ref="K24:K29" si="21">1.66*C24*D24</f>
        <v>74.699999999999989</v>
      </c>
      <c r="L24" s="104">
        <f t="shared" ref="L24:L29" si="22">0.95*C24*D24</f>
        <v>42.75</v>
      </c>
      <c r="M24" s="104"/>
      <c r="N24" s="104"/>
      <c r="O24" s="104"/>
      <c r="P24" s="100">
        <v>813</v>
      </c>
      <c r="Q24" s="104">
        <f t="shared" ref="Q24:Q29" si="23">P24/C24*2</f>
        <v>325.2</v>
      </c>
      <c r="R24" s="104">
        <f t="shared" ref="R24:R29" si="24">P24-Q24</f>
        <v>487.8</v>
      </c>
    </row>
    <row r="25" spans="1:18">
      <c r="A25" s="94">
        <v>2</v>
      </c>
      <c r="B25" s="11" t="s">
        <v>46</v>
      </c>
      <c r="C25" s="11">
        <v>5</v>
      </c>
      <c r="D25" s="11">
        <v>8</v>
      </c>
      <c r="E25" s="104">
        <f t="shared" si="15"/>
        <v>154.4</v>
      </c>
      <c r="F25" s="104">
        <f t="shared" si="16"/>
        <v>32</v>
      </c>
      <c r="G25" s="104">
        <f t="shared" si="17"/>
        <v>180</v>
      </c>
      <c r="H25" s="104">
        <f t="shared" si="18"/>
        <v>48</v>
      </c>
      <c r="I25" s="104">
        <f t="shared" si="19"/>
        <v>20</v>
      </c>
      <c r="J25" s="104">
        <f t="shared" si="20"/>
        <v>22</v>
      </c>
      <c r="K25" s="104">
        <f t="shared" si="21"/>
        <v>66.399999999999991</v>
      </c>
      <c r="L25" s="104">
        <f t="shared" si="22"/>
        <v>38</v>
      </c>
      <c r="M25" s="104"/>
      <c r="N25" s="104"/>
      <c r="O25" s="104"/>
      <c r="P25" s="100">
        <v>558</v>
      </c>
      <c r="Q25" s="104">
        <f t="shared" si="23"/>
        <v>223.2</v>
      </c>
      <c r="R25" s="104">
        <f t="shared" si="24"/>
        <v>334.8</v>
      </c>
    </row>
    <row r="26" spans="1:18">
      <c r="A26" s="94">
        <v>3</v>
      </c>
      <c r="B26" s="11" t="s">
        <v>41</v>
      </c>
      <c r="C26" s="11">
        <v>5</v>
      </c>
      <c r="D26" s="11">
        <v>12</v>
      </c>
      <c r="E26" s="104">
        <f t="shared" si="15"/>
        <v>231.60000000000002</v>
      </c>
      <c r="F26" s="104">
        <f t="shared" si="16"/>
        <v>48</v>
      </c>
      <c r="G26" s="104">
        <f t="shared" si="17"/>
        <v>270</v>
      </c>
      <c r="H26" s="104">
        <f t="shared" si="18"/>
        <v>72</v>
      </c>
      <c r="I26" s="104">
        <f t="shared" si="19"/>
        <v>30</v>
      </c>
      <c r="J26" s="104">
        <f t="shared" si="20"/>
        <v>33</v>
      </c>
      <c r="K26" s="104">
        <f t="shared" si="21"/>
        <v>99.6</v>
      </c>
      <c r="L26" s="104">
        <f t="shared" si="22"/>
        <v>57</v>
      </c>
      <c r="M26" s="104"/>
      <c r="N26" s="104"/>
      <c r="O26" s="104"/>
      <c r="P26" s="100">
        <v>1240.9000000000001</v>
      </c>
      <c r="Q26" s="104">
        <f t="shared" si="23"/>
        <v>496.36</v>
      </c>
      <c r="R26" s="104">
        <f t="shared" si="24"/>
        <v>744.54000000000008</v>
      </c>
    </row>
    <row r="27" spans="1:18">
      <c r="A27" s="94">
        <v>4</v>
      </c>
      <c r="B27" s="11" t="s">
        <v>43</v>
      </c>
      <c r="C27" s="11">
        <v>5</v>
      </c>
      <c r="D27" s="11">
        <v>8</v>
      </c>
      <c r="E27" s="104">
        <f t="shared" si="15"/>
        <v>154.4</v>
      </c>
      <c r="F27" s="104">
        <f t="shared" si="16"/>
        <v>32</v>
      </c>
      <c r="G27" s="104">
        <f t="shared" si="17"/>
        <v>180</v>
      </c>
      <c r="H27" s="104">
        <f t="shared" si="18"/>
        <v>48</v>
      </c>
      <c r="I27" s="104">
        <f t="shared" si="19"/>
        <v>20</v>
      </c>
      <c r="J27" s="104">
        <f t="shared" si="20"/>
        <v>22</v>
      </c>
      <c r="K27" s="104">
        <f t="shared" si="21"/>
        <v>66.399999999999991</v>
      </c>
      <c r="L27" s="104">
        <f t="shared" si="22"/>
        <v>38</v>
      </c>
      <c r="M27" s="104"/>
      <c r="N27" s="104"/>
      <c r="O27" s="104"/>
      <c r="P27" s="100">
        <v>710.5</v>
      </c>
      <c r="Q27" s="104">
        <f t="shared" si="23"/>
        <v>284.2</v>
      </c>
      <c r="R27" s="104">
        <f t="shared" si="24"/>
        <v>426.3</v>
      </c>
    </row>
    <row r="28" spans="1:18">
      <c r="A28" s="94">
        <v>5</v>
      </c>
      <c r="B28" s="11" t="s">
        <v>44</v>
      </c>
      <c r="C28" s="11">
        <v>5</v>
      </c>
      <c r="D28" s="11">
        <v>8</v>
      </c>
      <c r="E28" s="104">
        <f t="shared" si="15"/>
        <v>154.4</v>
      </c>
      <c r="F28" s="104">
        <f t="shared" si="16"/>
        <v>32</v>
      </c>
      <c r="G28" s="104">
        <f t="shared" si="17"/>
        <v>180</v>
      </c>
      <c r="H28" s="104">
        <f t="shared" si="18"/>
        <v>48</v>
      </c>
      <c r="I28" s="104">
        <f t="shared" si="19"/>
        <v>20</v>
      </c>
      <c r="J28" s="104">
        <f t="shared" si="20"/>
        <v>22</v>
      </c>
      <c r="K28" s="104">
        <f t="shared" si="21"/>
        <v>66.399999999999991</v>
      </c>
      <c r="L28" s="104">
        <f t="shared" si="22"/>
        <v>38</v>
      </c>
      <c r="M28" s="104"/>
      <c r="N28" s="104"/>
      <c r="O28" s="104"/>
      <c r="P28" s="100">
        <v>716.9</v>
      </c>
      <c r="Q28" s="104">
        <f t="shared" si="23"/>
        <v>286.76</v>
      </c>
      <c r="R28" s="104">
        <f t="shared" si="24"/>
        <v>430.14</v>
      </c>
    </row>
    <row r="29" spans="1:18">
      <c r="A29" s="94">
        <v>6</v>
      </c>
      <c r="B29" s="11" t="s">
        <v>45</v>
      </c>
      <c r="C29" s="11">
        <v>5</v>
      </c>
      <c r="D29" s="11">
        <v>8</v>
      </c>
      <c r="E29" s="104">
        <f t="shared" si="15"/>
        <v>154.4</v>
      </c>
      <c r="F29" s="104">
        <f t="shared" si="16"/>
        <v>32</v>
      </c>
      <c r="G29" s="104">
        <f t="shared" si="17"/>
        <v>180</v>
      </c>
      <c r="H29" s="104">
        <f t="shared" si="18"/>
        <v>48</v>
      </c>
      <c r="I29" s="104">
        <f t="shared" si="19"/>
        <v>20</v>
      </c>
      <c r="J29" s="104">
        <f t="shared" si="20"/>
        <v>22</v>
      </c>
      <c r="K29" s="104">
        <f t="shared" si="21"/>
        <v>66.399999999999991</v>
      </c>
      <c r="L29" s="104">
        <f t="shared" si="22"/>
        <v>38</v>
      </c>
      <c r="M29" s="104"/>
      <c r="N29" s="104"/>
      <c r="O29" s="104"/>
      <c r="P29" s="100">
        <v>554.5</v>
      </c>
      <c r="Q29" s="104">
        <f t="shared" si="23"/>
        <v>221.8</v>
      </c>
      <c r="R29" s="104">
        <f t="shared" si="24"/>
        <v>332.7</v>
      </c>
    </row>
    <row r="30" spans="1:18">
      <c r="A30" s="1">
        <v>6</v>
      </c>
      <c r="B30" s="1" t="s">
        <v>20</v>
      </c>
      <c r="C30" s="1"/>
      <c r="D30" s="1">
        <f t="shared" ref="D30:R30" si="25">SUM(D24:D29)</f>
        <v>53</v>
      </c>
      <c r="E30" s="1">
        <f t="shared" si="25"/>
        <v>1022.9</v>
      </c>
      <c r="F30" s="1">
        <f t="shared" si="25"/>
        <v>212</v>
      </c>
      <c r="G30" s="1">
        <f t="shared" si="25"/>
        <v>1192.5</v>
      </c>
      <c r="H30" s="1">
        <f t="shared" si="25"/>
        <v>318</v>
      </c>
      <c r="I30" s="1">
        <f t="shared" si="25"/>
        <v>132.5</v>
      </c>
      <c r="J30" s="1">
        <f t="shared" si="25"/>
        <v>145.75</v>
      </c>
      <c r="K30" s="1">
        <f t="shared" si="25"/>
        <v>439.89999999999992</v>
      </c>
      <c r="L30" s="1">
        <f t="shared" si="25"/>
        <v>251.75</v>
      </c>
      <c r="M30" s="1">
        <f t="shared" si="25"/>
        <v>0</v>
      </c>
      <c r="N30" s="1">
        <f t="shared" si="25"/>
        <v>0</v>
      </c>
      <c r="O30" s="1">
        <f t="shared" si="25"/>
        <v>0</v>
      </c>
      <c r="P30" s="1">
        <f t="shared" si="25"/>
        <v>4593.8</v>
      </c>
      <c r="Q30" s="1">
        <f t="shared" si="25"/>
        <v>1837.52</v>
      </c>
      <c r="R30" s="1">
        <f t="shared" si="25"/>
        <v>2756.2799999999997</v>
      </c>
    </row>
    <row r="31" spans="1:18">
      <c r="A31" s="167" t="s">
        <v>47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</row>
    <row r="32" spans="1:18">
      <c r="A32" s="94">
        <v>1</v>
      </c>
      <c r="B32" s="11" t="s">
        <v>48</v>
      </c>
      <c r="C32" s="11">
        <v>5</v>
      </c>
      <c r="D32" s="11">
        <v>6</v>
      </c>
      <c r="E32" s="104">
        <f t="shared" ref="E32:E45" si="26">3.86*C32*D32</f>
        <v>115.80000000000001</v>
      </c>
      <c r="F32" s="104">
        <f t="shared" ref="F32:F45" si="27">4*D32</f>
        <v>24</v>
      </c>
      <c r="G32" s="104">
        <f t="shared" ref="G32:G45" si="28">4.5*C32*D32</f>
        <v>135</v>
      </c>
      <c r="H32" s="104">
        <f t="shared" ref="H32:H45" si="29">1*C32*D32+1*D32</f>
        <v>36</v>
      </c>
      <c r="I32" s="104">
        <f t="shared" ref="I32:I45" si="30">0.5*C32*D32</f>
        <v>15</v>
      </c>
      <c r="J32" s="104">
        <f t="shared" ref="J32:J45" si="31">0.55*C32*D32</f>
        <v>16.5</v>
      </c>
      <c r="K32" s="104">
        <f t="shared" ref="K32:K45" si="32">1.66*C32*D32</f>
        <v>49.8</v>
      </c>
      <c r="L32" s="104">
        <f t="shared" ref="L32:L45" si="33">0.95*C32*D32</f>
        <v>28.5</v>
      </c>
      <c r="M32" s="104"/>
      <c r="N32" s="104"/>
      <c r="O32" s="104"/>
      <c r="P32" s="100">
        <v>503</v>
      </c>
      <c r="Q32" s="104">
        <f t="shared" ref="Q32:Q45" si="34">P32/C32*2</f>
        <v>201.2</v>
      </c>
      <c r="R32" s="104">
        <f t="shared" ref="R32:R45" si="35">P32-Q32</f>
        <v>301.8</v>
      </c>
    </row>
    <row r="33" spans="1:18">
      <c r="A33" s="94">
        <v>2</v>
      </c>
      <c r="B33" s="11" t="s">
        <v>49</v>
      </c>
      <c r="C33" s="11">
        <v>5</v>
      </c>
      <c r="D33" s="11">
        <v>6</v>
      </c>
      <c r="E33" s="104">
        <f t="shared" si="26"/>
        <v>115.80000000000001</v>
      </c>
      <c r="F33" s="104">
        <f t="shared" si="27"/>
        <v>24</v>
      </c>
      <c r="G33" s="104">
        <f t="shared" si="28"/>
        <v>135</v>
      </c>
      <c r="H33" s="104">
        <f t="shared" si="29"/>
        <v>36</v>
      </c>
      <c r="I33" s="104">
        <f t="shared" si="30"/>
        <v>15</v>
      </c>
      <c r="J33" s="104">
        <f t="shared" si="31"/>
        <v>16.5</v>
      </c>
      <c r="K33" s="104">
        <f t="shared" si="32"/>
        <v>49.8</v>
      </c>
      <c r="L33" s="104">
        <f t="shared" si="33"/>
        <v>28.5</v>
      </c>
      <c r="M33" s="104"/>
      <c r="N33" s="104"/>
      <c r="O33" s="104"/>
      <c r="P33" s="100">
        <v>402.5</v>
      </c>
      <c r="Q33" s="104">
        <f t="shared" si="34"/>
        <v>161</v>
      </c>
      <c r="R33" s="104">
        <f t="shared" si="35"/>
        <v>241.5</v>
      </c>
    </row>
    <row r="34" spans="1:18">
      <c r="A34" s="94">
        <v>3</v>
      </c>
      <c r="B34" s="11" t="s">
        <v>50</v>
      </c>
      <c r="C34" s="11">
        <v>5</v>
      </c>
      <c r="D34" s="11">
        <v>6</v>
      </c>
      <c r="E34" s="104">
        <f t="shared" si="26"/>
        <v>115.80000000000001</v>
      </c>
      <c r="F34" s="104">
        <f t="shared" si="27"/>
        <v>24</v>
      </c>
      <c r="G34" s="104">
        <f t="shared" si="28"/>
        <v>135</v>
      </c>
      <c r="H34" s="104">
        <f t="shared" si="29"/>
        <v>36</v>
      </c>
      <c r="I34" s="104">
        <f t="shared" si="30"/>
        <v>15</v>
      </c>
      <c r="J34" s="104">
        <f t="shared" si="31"/>
        <v>16.5</v>
      </c>
      <c r="K34" s="104">
        <f t="shared" si="32"/>
        <v>49.8</v>
      </c>
      <c r="L34" s="104">
        <f t="shared" si="33"/>
        <v>28.5</v>
      </c>
      <c r="M34" s="104"/>
      <c r="N34" s="104"/>
      <c r="O34" s="104"/>
      <c r="P34" s="100">
        <v>420.5</v>
      </c>
      <c r="Q34" s="104">
        <f t="shared" si="34"/>
        <v>168.2</v>
      </c>
      <c r="R34" s="104">
        <f t="shared" si="35"/>
        <v>252.3</v>
      </c>
    </row>
    <row r="35" spans="1:18">
      <c r="A35" s="94">
        <v>4</v>
      </c>
      <c r="B35" s="11" t="s">
        <v>51</v>
      </c>
      <c r="C35" s="11">
        <v>5</v>
      </c>
      <c r="D35" s="11">
        <v>7</v>
      </c>
      <c r="E35" s="104">
        <f t="shared" si="26"/>
        <v>135.1</v>
      </c>
      <c r="F35" s="104">
        <f t="shared" si="27"/>
        <v>28</v>
      </c>
      <c r="G35" s="104">
        <f t="shared" si="28"/>
        <v>157.5</v>
      </c>
      <c r="H35" s="104">
        <f t="shared" si="29"/>
        <v>42</v>
      </c>
      <c r="I35" s="104">
        <f t="shared" si="30"/>
        <v>17.5</v>
      </c>
      <c r="J35" s="104">
        <f t="shared" si="31"/>
        <v>19.25</v>
      </c>
      <c r="K35" s="104">
        <f t="shared" si="32"/>
        <v>58.099999999999994</v>
      </c>
      <c r="L35" s="104">
        <f t="shared" si="33"/>
        <v>33.25</v>
      </c>
      <c r="M35" s="104"/>
      <c r="N35" s="104"/>
      <c r="O35" s="104"/>
      <c r="P35" s="100">
        <v>642.1</v>
      </c>
      <c r="Q35" s="104">
        <f t="shared" si="34"/>
        <v>256.84000000000003</v>
      </c>
      <c r="R35" s="104">
        <f t="shared" si="35"/>
        <v>385.26</v>
      </c>
    </row>
    <row r="36" spans="1:18">
      <c r="A36" s="94">
        <v>5</v>
      </c>
      <c r="B36" s="11" t="s">
        <v>52</v>
      </c>
      <c r="C36" s="11">
        <v>5</v>
      </c>
      <c r="D36" s="11">
        <v>4</v>
      </c>
      <c r="E36" s="104">
        <f t="shared" si="26"/>
        <v>77.2</v>
      </c>
      <c r="F36" s="104">
        <f t="shared" si="27"/>
        <v>16</v>
      </c>
      <c r="G36" s="104">
        <f t="shared" si="28"/>
        <v>90</v>
      </c>
      <c r="H36" s="104">
        <f t="shared" si="29"/>
        <v>24</v>
      </c>
      <c r="I36" s="104">
        <f t="shared" si="30"/>
        <v>10</v>
      </c>
      <c r="J36" s="104">
        <f t="shared" si="31"/>
        <v>11</v>
      </c>
      <c r="K36" s="104">
        <f t="shared" si="32"/>
        <v>33.199999999999996</v>
      </c>
      <c r="L36" s="104">
        <f t="shared" si="33"/>
        <v>19</v>
      </c>
      <c r="M36" s="104"/>
      <c r="N36" s="104"/>
      <c r="O36" s="104"/>
      <c r="P36" s="100">
        <v>550.6</v>
      </c>
      <c r="Q36" s="104">
        <f t="shared" si="34"/>
        <v>220.24</v>
      </c>
      <c r="R36" s="104">
        <f t="shared" si="35"/>
        <v>330.36</v>
      </c>
    </row>
    <row r="37" spans="1:18">
      <c r="A37" s="94">
        <v>6</v>
      </c>
      <c r="B37" s="11" t="s">
        <v>53</v>
      </c>
      <c r="C37" s="11">
        <v>5</v>
      </c>
      <c r="D37" s="11">
        <v>6</v>
      </c>
      <c r="E37" s="104">
        <f t="shared" si="26"/>
        <v>115.80000000000001</v>
      </c>
      <c r="F37" s="104">
        <f t="shared" si="27"/>
        <v>24</v>
      </c>
      <c r="G37" s="104">
        <f t="shared" si="28"/>
        <v>135</v>
      </c>
      <c r="H37" s="104">
        <f t="shared" si="29"/>
        <v>36</v>
      </c>
      <c r="I37" s="104">
        <f t="shared" si="30"/>
        <v>15</v>
      </c>
      <c r="J37" s="104">
        <f t="shared" si="31"/>
        <v>16.5</v>
      </c>
      <c r="K37" s="104">
        <f t="shared" si="32"/>
        <v>49.8</v>
      </c>
      <c r="L37" s="104">
        <f t="shared" si="33"/>
        <v>28.5</v>
      </c>
      <c r="M37" s="104"/>
      <c r="N37" s="104"/>
      <c r="O37" s="104"/>
      <c r="P37" s="100">
        <v>443.7</v>
      </c>
      <c r="Q37" s="104">
        <f t="shared" si="34"/>
        <v>177.48</v>
      </c>
      <c r="R37" s="104">
        <f t="shared" si="35"/>
        <v>266.22000000000003</v>
      </c>
    </row>
    <row r="38" spans="1:18">
      <c r="A38" s="94">
        <v>7</v>
      </c>
      <c r="B38" s="11" t="s">
        <v>54</v>
      </c>
      <c r="C38" s="11">
        <v>5</v>
      </c>
      <c r="D38" s="11">
        <v>5</v>
      </c>
      <c r="E38" s="104">
        <f t="shared" si="26"/>
        <v>96.5</v>
      </c>
      <c r="F38" s="104">
        <f t="shared" si="27"/>
        <v>20</v>
      </c>
      <c r="G38" s="104">
        <f t="shared" si="28"/>
        <v>112.5</v>
      </c>
      <c r="H38" s="104">
        <f t="shared" si="29"/>
        <v>30</v>
      </c>
      <c r="I38" s="104">
        <f t="shared" si="30"/>
        <v>12.5</v>
      </c>
      <c r="J38" s="104">
        <f t="shared" si="31"/>
        <v>13.75</v>
      </c>
      <c r="K38" s="104">
        <f t="shared" si="32"/>
        <v>41.499999999999993</v>
      </c>
      <c r="L38" s="104">
        <f t="shared" si="33"/>
        <v>23.75</v>
      </c>
      <c r="M38" s="104"/>
      <c r="N38" s="104"/>
      <c r="O38" s="104"/>
      <c r="P38" s="100">
        <v>472.4</v>
      </c>
      <c r="Q38" s="104">
        <f t="shared" si="34"/>
        <v>188.95999999999998</v>
      </c>
      <c r="R38" s="104">
        <f t="shared" si="35"/>
        <v>283.44</v>
      </c>
    </row>
    <row r="39" spans="1:18">
      <c r="A39" s="94">
        <v>8</v>
      </c>
      <c r="B39" s="11" t="s">
        <v>55</v>
      </c>
      <c r="C39" s="11">
        <v>5</v>
      </c>
      <c r="D39" s="11">
        <v>4</v>
      </c>
      <c r="E39" s="104">
        <f t="shared" si="26"/>
        <v>77.2</v>
      </c>
      <c r="F39" s="104">
        <f t="shared" si="27"/>
        <v>16</v>
      </c>
      <c r="G39" s="104">
        <f t="shared" si="28"/>
        <v>90</v>
      </c>
      <c r="H39" s="104">
        <f t="shared" si="29"/>
        <v>24</v>
      </c>
      <c r="I39" s="104">
        <f t="shared" si="30"/>
        <v>10</v>
      </c>
      <c r="J39" s="104">
        <f t="shared" si="31"/>
        <v>11</v>
      </c>
      <c r="K39" s="104">
        <f t="shared" si="32"/>
        <v>33.199999999999996</v>
      </c>
      <c r="L39" s="104">
        <f t="shared" si="33"/>
        <v>19</v>
      </c>
      <c r="M39" s="104"/>
      <c r="N39" s="104"/>
      <c r="O39" s="104"/>
      <c r="P39" s="100">
        <v>334.8</v>
      </c>
      <c r="Q39" s="104">
        <f t="shared" si="34"/>
        <v>133.92000000000002</v>
      </c>
      <c r="R39" s="104">
        <f t="shared" si="35"/>
        <v>200.88</v>
      </c>
    </row>
    <row r="40" spans="1:18">
      <c r="A40" s="94">
        <v>9</v>
      </c>
      <c r="B40" s="11" t="s">
        <v>56</v>
      </c>
      <c r="C40" s="11">
        <v>5</v>
      </c>
      <c r="D40" s="11">
        <v>4</v>
      </c>
      <c r="E40" s="104">
        <f t="shared" si="26"/>
        <v>77.2</v>
      </c>
      <c r="F40" s="104">
        <f t="shared" si="27"/>
        <v>16</v>
      </c>
      <c r="G40" s="104">
        <f t="shared" si="28"/>
        <v>90</v>
      </c>
      <c r="H40" s="104">
        <f t="shared" si="29"/>
        <v>24</v>
      </c>
      <c r="I40" s="104">
        <f t="shared" si="30"/>
        <v>10</v>
      </c>
      <c r="J40" s="104">
        <f t="shared" si="31"/>
        <v>11</v>
      </c>
      <c r="K40" s="104">
        <f t="shared" si="32"/>
        <v>33.199999999999996</v>
      </c>
      <c r="L40" s="104">
        <f t="shared" si="33"/>
        <v>19</v>
      </c>
      <c r="M40" s="104"/>
      <c r="N40" s="104"/>
      <c r="O40" s="104"/>
      <c r="P40" s="100">
        <v>536.1</v>
      </c>
      <c r="Q40" s="104">
        <f t="shared" si="34"/>
        <v>214.44</v>
      </c>
      <c r="R40" s="104">
        <f t="shared" si="35"/>
        <v>321.66000000000003</v>
      </c>
    </row>
    <row r="41" spans="1:18">
      <c r="A41" s="94">
        <v>10</v>
      </c>
      <c r="B41" s="11" t="s">
        <v>57</v>
      </c>
      <c r="C41" s="11">
        <v>5</v>
      </c>
      <c r="D41" s="11">
        <v>4</v>
      </c>
      <c r="E41" s="104">
        <f t="shared" si="26"/>
        <v>77.2</v>
      </c>
      <c r="F41" s="104">
        <f t="shared" si="27"/>
        <v>16</v>
      </c>
      <c r="G41" s="104">
        <f t="shared" si="28"/>
        <v>90</v>
      </c>
      <c r="H41" s="104">
        <f t="shared" si="29"/>
        <v>24</v>
      </c>
      <c r="I41" s="104">
        <f t="shared" si="30"/>
        <v>10</v>
      </c>
      <c r="J41" s="104">
        <f t="shared" si="31"/>
        <v>11</v>
      </c>
      <c r="K41" s="104">
        <f t="shared" si="32"/>
        <v>33.199999999999996</v>
      </c>
      <c r="L41" s="104">
        <f t="shared" si="33"/>
        <v>19</v>
      </c>
      <c r="M41" s="104"/>
      <c r="N41" s="104"/>
      <c r="O41" s="104"/>
      <c r="P41" s="100">
        <v>411.2</v>
      </c>
      <c r="Q41" s="104">
        <f t="shared" si="34"/>
        <v>164.48</v>
      </c>
      <c r="R41" s="104">
        <f t="shared" si="35"/>
        <v>246.72</v>
      </c>
    </row>
    <row r="42" spans="1:18">
      <c r="A42" s="94">
        <v>11</v>
      </c>
      <c r="B42" s="11" t="s">
        <v>58</v>
      </c>
      <c r="C42" s="11">
        <v>5</v>
      </c>
      <c r="D42" s="11">
        <v>4</v>
      </c>
      <c r="E42" s="104">
        <f t="shared" si="26"/>
        <v>77.2</v>
      </c>
      <c r="F42" s="104">
        <f t="shared" si="27"/>
        <v>16</v>
      </c>
      <c r="G42" s="104">
        <f t="shared" si="28"/>
        <v>90</v>
      </c>
      <c r="H42" s="104">
        <f t="shared" si="29"/>
        <v>24</v>
      </c>
      <c r="I42" s="104">
        <f t="shared" si="30"/>
        <v>10</v>
      </c>
      <c r="J42" s="104">
        <f t="shared" si="31"/>
        <v>11</v>
      </c>
      <c r="K42" s="104">
        <f t="shared" si="32"/>
        <v>33.199999999999996</v>
      </c>
      <c r="L42" s="104">
        <f t="shared" si="33"/>
        <v>19</v>
      </c>
      <c r="M42" s="104"/>
      <c r="N42" s="104"/>
      <c r="O42" s="104"/>
      <c r="P42" s="100">
        <v>352.8</v>
      </c>
      <c r="Q42" s="104">
        <f t="shared" si="34"/>
        <v>141.12</v>
      </c>
      <c r="R42" s="104">
        <f t="shared" si="35"/>
        <v>211.68</v>
      </c>
    </row>
    <row r="43" spans="1:18">
      <c r="A43" s="94">
        <v>12</v>
      </c>
      <c r="B43" s="11" t="s">
        <v>59</v>
      </c>
      <c r="C43" s="11">
        <v>5</v>
      </c>
      <c r="D43" s="11">
        <v>6</v>
      </c>
      <c r="E43" s="104">
        <f t="shared" si="26"/>
        <v>115.80000000000001</v>
      </c>
      <c r="F43" s="104">
        <f t="shared" si="27"/>
        <v>24</v>
      </c>
      <c r="G43" s="104">
        <f t="shared" si="28"/>
        <v>135</v>
      </c>
      <c r="H43" s="104">
        <f t="shared" si="29"/>
        <v>36</v>
      </c>
      <c r="I43" s="104">
        <f t="shared" si="30"/>
        <v>15</v>
      </c>
      <c r="J43" s="104">
        <f t="shared" si="31"/>
        <v>16.5</v>
      </c>
      <c r="K43" s="104">
        <f t="shared" si="32"/>
        <v>49.8</v>
      </c>
      <c r="L43" s="104">
        <f t="shared" si="33"/>
        <v>28.5</v>
      </c>
      <c r="M43" s="104"/>
      <c r="N43" s="104"/>
      <c r="O43" s="104"/>
      <c r="P43" s="100">
        <v>413.3</v>
      </c>
      <c r="Q43" s="104">
        <f t="shared" si="34"/>
        <v>165.32</v>
      </c>
      <c r="R43" s="104">
        <f t="shared" si="35"/>
        <v>247.98000000000002</v>
      </c>
    </row>
    <row r="44" spans="1:18">
      <c r="A44" s="94">
        <v>13</v>
      </c>
      <c r="B44" s="11" t="s">
        <v>60</v>
      </c>
      <c r="C44" s="11">
        <v>5</v>
      </c>
      <c r="D44" s="11">
        <v>6</v>
      </c>
      <c r="E44" s="104">
        <f t="shared" si="26"/>
        <v>115.80000000000001</v>
      </c>
      <c r="F44" s="104">
        <f t="shared" si="27"/>
        <v>24</v>
      </c>
      <c r="G44" s="104">
        <f t="shared" si="28"/>
        <v>135</v>
      </c>
      <c r="H44" s="104">
        <f t="shared" si="29"/>
        <v>36</v>
      </c>
      <c r="I44" s="104">
        <f t="shared" si="30"/>
        <v>15</v>
      </c>
      <c r="J44" s="104">
        <f t="shared" si="31"/>
        <v>16.5</v>
      </c>
      <c r="K44" s="104">
        <f t="shared" si="32"/>
        <v>49.8</v>
      </c>
      <c r="L44" s="104">
        <f t="shared" si="33"/>
        <v>28.5</v>
      </c>
      <c r="M44" s="104"/>
      <c r="N44" s="104"/>
      <c r="O44" s="104"/>
      <c r="P44" s="100">
        <v>412.8</v>
      </c>
      <c r="Q44" s="104">
        <f t="shared" si="34"/>
        <v>165.12</v>
      </c>
      <c r="R44" s="104">
        <f t="shared" si="35"/>
        <v>247.68</v>
      </c>
    </row>
    <row r="45" spans="1:18">
      <c r="A45" s="94">
        <v>14</v>
      </c>
      <c r="B45" s="11" t="s">
        <v>61</v>
      </c>
      <c r="C45" s="11">
        <v>5</v>
      </c>
      <c r="D45" s="11">
        <v>4</v>
      </c>
      <c r="E45" s="104">
        <f t="shared" si="26"/>
        <v>77.2</v>
      </c>
      <c r="F45" s="104">
        <f t="shared" si="27"/>
        <v>16</v>
      </c>
      <c r="G45" s="104">
        <f t="shared" si="28"/>
        <v>90</v>
      </c>
      <c r="H45" s="104">
        <f t="shared" si="29"/>
        <v>24</v>
      </c>
      <c r="I45" s="104">
        <f t="shared" si="30"/>
        <v>10</v>
      </c>
      <c r="J45" s="104">
        <f t="shared" si="31"/>
        <v>11</v>
      </c>
      <c r="K45" s="104">
        <f t="shared" si="32"/>
        <v>33.199999999999996</v>
      </c>
      <c r="L45" s="104">
        <f t="shared" si="33"/>
        <v>19</v>
      </c>
      <c r="M45" s="104"/>
      <c r="N45" s="104"/>
      <c r="O45" s="104"/>
      <c r="P45" s="100">
        <v>353.4</v>
      </c>
      <c r="Q45" s="104">
        <f t="shared" si="34"/>
        <v>141.35999999999999</v>
      </c>
      <c r="R45" s="104">
        <f t="shared" si="35"/>
        <v>212.04</v>
      </c>
    </row>
    <row r="46" spans="1:18">
      <c r="A46" s="1">
        <v>14</v>
      </c>
      <c r="B46" s="1" t="s">
        <v>20</v>
      </c>
      <c r="C46" s="1"/>
      <c r="D46" s="1">
        <f t="shared" ref="D46:R46" si="36">SUM(D32:D45)</f>
        <v>72</v>
      </c>
      <c r="E46" s="1">
        <f t="shared" si="36"/>
        <v>1389.6000000000001</v>
      </c>
      <c r="F46" s="1">
        <f t="shared" si="36"/>
        <v>288</v>
      </c>
      <c r="G46" s="1">
        <f t="shared" si="36"/>
        <v>1620</v>
      </c>
      <c r="H46" s="1">
        <f t="shared" si="36"/>
        <v>432</v>
      </c>
      <c r="I46" s="1">
        <f t="shared" si="36"/>
        <v>180</v>
      </c>
      <c r="J46" s="1">
        <f t="shared" si="36"/>
        <v>198</v>
      </c>
      <c r="K46" s="1">
        <f t="shared" si="36"/>
        <v>597.59999999999991</v>
      </c>
      <c r="L46" s="1">
        <f t="shared" si="36"/>
        <v>342</v>
      </c>
      <c r="M46" s="1">
        <f t="shared" si="36"/>
        <v>0</v>
      </c>
      <c r="N46" s="1">
        <f t="shared" si="36"/>
        <v>0</v>
      </c>
      <c r="O46" s="1">
        <f t="shared" si="36"/>
        <v>0</v>
      </c>
      <c r="P46" s="1">
        <f t="shared" si="36"/>
        <v>6249.2</v>
      </c>
      <c r="Q46" s="1">
        <f t="shared" si="36"/>
        <v>2499.6800000000003</v>
      </c>
      <c r="R46" s="1">
        <f t="shared" si="36"/>
        <v>3749.5199999999991</v>
      </c>
    </row>
    <row r="47" spans="1:18">
      <c r="A47" s="1">
        <f>A22+A30+A46</f>
        <v>23</v>
      </c>
      <c r="B47" s="1" t="s">
        <v>262</v>
      </c>
      <c r="C47" s="1"/>
      <c r="D47" s="1">
        <f t="shared" ref="D47:R47" si="37">D22+D30+D46</f>
        <v>131</v>
      </c>
      <c r="E47" s="1">
        <f t="shared" si="37"/>
        <v>2489.6999999999998</v>
      </c>
      <c r="F47" s="1">
        <f t="shared" si="37"/>
        <v>524</v>
      </c>
      <c r="G47" s="1">
        <f t="shared" si="37"/>
        <v>2902.5</v>
      </c>
      <c r="H47" s="1">
        <f t="shared" si="37"/>
        <v>776</v>
      </c>
      <c r="I47" s="1">
        <f t="shared" si="37"/>
        <v>322.5</v>
      </c>
      <c r="J47" s="1">
        <f t="shared" si="37"/>
        <v>354.75</v>
      </c>
      <c r="K47" s="1">
        <f t="shared" si="37"/>
        <v>1070.6999999999998</v>
      </c>
      <c r="L47" s="1">
        <f t="shared" si="37"/>
        <v>612.75</v>
      </c>
      <c r="M47" s="1">
        <f t="shared" si="37"/>
        <v>0</v>
      </c>
      <c r="N47" s="1">
        <f t="shared" si="37"/>
        <v>0</v>
      </c>
      <c r="O47" s="1">
        <f t="shared" si="37"/>
        <v>0</v>
      </c>
      <c r="P47" s="1">
        <f t="shared" si="37"/>
        <v>11165.3</v>
      </c>
      <c r="Q47" s="1">
        <f t="shared" si="37"/>
        <v>4535.55</v>
      </c>
      <c r="R47" s="1">
        <f t="shared" si="37"/>
        <v>6629.7499999999982</v>
      </c>
    </row>
    <row r="48" spans="1:18" ht="28.35" customHeight="1">
      <c r="A48" s="148" t="s">
        <v>264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</row>
    <row r="49" spans="1:18">
      <c r="A49" s="157" t="s">
        <v>63</v>
      </c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</row>
    <row r="50" spans="1:18">
      <c r="A50" s="105">
        <v>1</v>
      </c>
      <c r="B50" s="105" t="s">
        <v>64</v>
      </c>
      <c r="C50" s="106">
        <v>2</v>
      </c>
      <c r="D50" s="107">
        <v>2</v>
      </c>
      <c r="E50" s="100">
        <f t="shared" ref="E50:E87" si="38">3.86*C50*D50</f>
        <v>15.44</v>
      </c>
      <c r="F50" s="100">
        <f t="shared" ref="F50:F87" si="39">4*D50</f>
        <v>8</v>
      </c>
      <c r="G50" s="100">
        <f t="shared" ref="G50:G87" si="40">4.5*C50*D50</f>
        <v>18</v>
      </c>
      <c r="H50" s="100">
        <f t="shared" ref="H50:H87" si="41">1*C50*D50+1*D50</f>
        <v>6</v>
      </c>
      <c r="I50" s="100">
        <f t="shared" ref="I50:I87" si="42">0.5*C50*D50</f>
        <v>2</v>
      </c>
      <c r="J50" s="100">
        <f t="shared" ref="J50:J87" si="43">0.55*C50*D50</f>
        <v>2.2000000000000002</v>
      </c>
      <c r="K50" s="100">
        <f t="shared" ref="K50:K87" si="44">1.66*C50*D50</f>
        <v>6.64</v>
      </c>
      <c r="L50" s="100">
        <f t="shared" ref="L50:L87" si="45">0.95*C50*D50</f>
        <v>3.8</v>
      </c>
      <c r="M50" s="102"/>
      <c r="N50" s="102"/>
      <c r="O50" s="108"/>
      <c r="P50" s="102">
        <v>62.6</v>
      </c>
      <c r="Q50" s="104">
        <f t="shared" ref="Q50:Q87" si="46">P50/C50*2</f>
        <v>62.6</v>
      </c>
      <c r="R50" s="104">
        <f t="shared" ref="R50:R87" si="47">P50-Q50</f>
        <v>0</v>
      </c>
    </row>
    <row r="51" spans="1:18">
      <c r="A51" s="105">
        <v>2</v>
      </c>
      <c r="B51" s="105" t="s">
        <v>66</v>
      </c>
      <c r="C51" s="106">
        <v>2</v>
      </c>
      <c r="D51" s="106">
        <v>1</v>
      </c>
      <c r="E51" s="100">
        <f t="shared" si="38"/>
        <v>7.72</v>
      </c>
      <c r="F51" s="100">
        <f t="shared" si="39"/>
        <v>4</v>
      </c>
      <c r="G51" s="100">
        <f t="shared" si="40"/>
        <v>9</v>
      </c>
      <c r="H51" s="100">
        <f t="shared" si="41"/>
        <v>3</v>
      </c>
      <c r="I51" s="100">
        <f t="shared" si="42"/>
        <v>1</v>
      </c>
      <c r="J51" s="100">
        <f t="shared" si="43"/>
        <v>1.1000000000000001</v>
      </c>
      <c r="K51" s="100">
        <f t="shared" si="44"/>
        <v>3.32</v>
      </c>
      <c r="L51" s="100">
        <f t="shared" si="45"/>
        <v>1.9</v>
      </c>
      <c r="M51" s="102"/>
      <c r="N51" s="102"/>
      <c r="O51" s="108"/>
      <c r="P51" s="102">
        <v>42.1</v>
      </c>
      <c r="Q51" s="104">
        <f t="shared" si="46"/>
        <v>42.1</v>
      </c>
      <c r="R51" s="104">
        <f t="shared" si="47"/>
        <v>0</v>
      </c>
    </row>
    <row r="52" spans="1:18">
      <c r="A52" s="105">
        <v>3</v>
      </c>
      <c r="B52" s="105" t="s">
        <v>68</v>
      </c>
      <c r="C52" s="106">
        <v>2</v>
      </c>
      <c r="D52" s="106">
        <v>1</v>
      </c>
      <c r="E52" s="100">
        <f t="shared" si="38"/>
        <v>7.72</v>
      </c>
      <c r="F52" s="100">
        <f t="shared" si="39"/>
        <v>4</v>
      </c>
      <c r="G52" s="100">
        <f t="shared" si="40"/>
        <v>9</v>
      </c>
      <c r="H52" s="100">
        <f t="shared" si="41"/>
        <v>3</v>
      </c>
      <c r="I52" s="100">
        <f t="shared" si="42"/>
        <v>1</v>
      </c>
      <c r="J52" s="100">
        <f t="shared" si="43"/>
        <v>1.1000000000000001</v>
      </c>
      <c r="K52" s="100">
        <f t="shared" si="44"/>
        <v>3.32</v>
      </c>
      <c r="L52" s="100">
        <f t="shared" si="45"/>
        <v>1.9</v>
      </c>
      <c r="M52" s="102"/>
      <c r="N52" s="102"/>
      <c r="O52" s="108"/>
      <c r="P52" s="102">
        <v>28</v>
      </c>
      <c r="Q52" s="104">
        <f t="shared" si="46"/>
        <v>28</v>
      </c>
      <c r="R52" s="104">
        <f t="shared" si="47"/>
        <v>0</v>
      </c>
    </row>
    <row r="53" spans="1:18">
      <c r="A53" s="105">
        <v>4</v>
      </c>
      <c r="B53" s="105" t="s">
        <v>70</v>
      </c>
      <c r="C53" s="106">
        <v>2</v>
      </c>
      <c r="D53" s="107">
        <v>1</v>
      </c>
      <c r="E53" s="100">
        <f t="shared" si="38"/>
        <v>7.72</v>
      </c>
      <c r="F53" s="100">
        <f t="shared" si="39"/>
        <v>4</v>
      </c>
      <c r="G53" s="100">
        <f t="shared" si="40"/>
        <v>9</v>
      </c>
      <c r="H53" s="100">
        <f t="shared" si="41"/>
        <v>3</v>
      </c>
      <c r="I53" s="100">
        <f t="shared" si="42"/>
        <v>1</v>
      </c>
      <c r="J53" s="100">
        <f t="shared" si="43"/>
        <v>1.1000000000000001</v>
      </c>
      <c r="K53" s="100">
        <f t="shared" si="44"/>
        <v>3.32</v>
      </c>
      <c r="L53" s="100">
        <f t="shared" si="45"/>
        <v>1.9</v>
      </c>
      <c r="M53" s="102"/>
      <c r="N53" s="102"/>
      <c r="O53" s="108"/>
      <c r="P53" s="102">
        <v>42.9</v>
      </c>
      <c r="Q53" s="104">
        <f t="shared" si="46"/>
        <v>42.9</v>
      </c>
      <c r="R53" s="104">
        <f t="shared" si="47"/>
        <v>0</v>
      </c>
    </row>
    <row r="54" spans="1:18">
      <c r="A54" s="11">
        <v>5</v>
      </c>
      <c r="B54" s="11" t="s">
        <v>71</v>
      </c>
      <c r="C54" s="109">
        <v>2</v>
      </c>
      <c r="D54" s="109">
        <v>1</v>
      </c>
      <c r="E54" s="100">
        <f t="shared" si="38"/>
        <v>7.72</v>
      </c>
      <c r="F54" s="100">
        <f t="shared" si="39"/>
        <v>4</v>
      </c>
      <c r="G54" s="100">
        <f t="shared" si="40"/>
        <v>9</v>
      </c>
      <c r="H54" s="100">
        <f t="shared" si="41"/>
        <v>3</v>
      </c>
      <c r="I54" s="100">
        <f t="shared" si="42"/>
        <v>1</v>
      </c>
      <c r="J54" s="100">
        <f t="shared" si="43"/>
        <v>1.1000000000000001</v>
      </c>
      <c r="K54" s="100">
        <f t="shared" si="44"/>
        <v>3.32</v>
      </c>
      <c r="L54" s="100">
        <f t="shared" si="45"/>
        <v>1.9</v>
      </c>
      <c r="M54" s="110"/>
      <c r="N54" s="102"/>
      <c r="O54" s="103"/>
      <c r="P54" s="102">
        <v>37.6</v>
      </c>
      <c r="Q54" s="104">
        <f t="shared" si="46"/>
        <v>37.6</v>
      </c>
      <c r="R54" s="104">
        <f t="shared" si="47"/>
        <v>0</v>
      </c>
    </row>
    <row r="55" spans="1:18">
      <c r="A55" s="11">
        <v>6</v>
      </c>
      <c r="B55" s="11" t="s">
        <v>72</v>
      </c>
      <c r="C55" s="109">
        <v>2</v>
      </c>
      <c r="D55" s="109">
        <v>1</v>
      </c>
      <c r="E55" s="100">
        <f t="shared" si="38"/>
        <v>7.72</v>
      </c>
      <c r="F55" s="100">
        <f t="shared" si="39"/>
        <v>4</v>
      </c>
      <c r="G55" s="100">
        <f t="shared" si="40"/>
        <v>9</v>
      </c>
      <c r="H55" s="100">
        <f t="shared" si="41"/>
        <v>3</v>
      </c>
      <c r="I55" s="100">
        <f t="shared" si="42"/>
        <v>1</v>
      </c>
      <c r="J55" s="100">
        <f t="shared" si="43"/>
        <v>1.1000000000000001</v>
      </c>
      <c r="K55" s="100">
        <f t="shared" si="44"/>
        <v>3.32</v>
      </c>
      <c r="L55" s="100">
        <f t="shared" si="45"/>
        <v>1.9</v>
      </c>
      <c r="M55" s="110"/>
      <c r="N55" s="102"/>
      <c r="O55" s="103"/>
      <c r="P55" s="102">
        <v>52.1</v>
      </c>
      <c r="Q55" s="104">
        <f t="shared" si="46"/>
        <v>52.1</v>
      </c>
      <c r="R55" s="104">
        <f t="shared" si="47"/>
        <v>0</v>
      </c>
    </row>
    <row r="56" spans="1:18">
      <c r="A56" s="11">
        <v>7</v>
      </c>
      <c r="B56" s="11" t="s">
        <v>74</v>
      </c>
      <c r="C56" s="109">
        <v>2</v>
      </c>
      <c r="D56" s="109">
        <v>1</v>
      </c>
      <c r="E56" s="100">
        <f t="shared" si="38"/>
        <v>7.72</v>
      </c>
      <c r="F56" s="100">
        <f t="shared" si="39"/>
        <v>4</v>
      </c>
      <c r="G56" s="100">
        <f t="shared" si="40"/>
        <v>9</v>
      </c>
      <c r="H56" s="100">
        <f t="shared" si="41"/>
        <v>3</v>
      </c>
      <c r="I56" s="100">
        <f t="shared" si="42"/>
        <v>1</v>
      </c>
      <c r="J56" s="100">
        <f t="shared" si="43"/>
        <v>1.1000000000000001</v>
      </c>
      <c r="K56" s="100">
        <f t="shared" si="44"/>
        <v>3.32</v>
      </c>
      <c r="L56" s="100">
        <f t="shared" si="45"/>
        <v>1.9</v>
      </c>
      <c r="M56" s="110"/>
      <c r="N56" s="102"/>
      <c r="O56" s="103"/>
      <c r="P56" s="102">
        <v>48.8</v>
      </c>
      <c r="Q56" s="104">
        <f t="shared" si="46"/>
        <v>48.8</v>
      </c>
      <c r="R56" s="104">
        <f t="shared" si="47"/>
        <v>0</v>
      </c>
    </row>
    <row r="57" spans="1:18">
      <c r="A57" s="11">
        <v>8</v>
      </c>
      <c r="B57" s="11" t="s">
        <v>75</v>
      </c>
      <c r="C57" s="109">
        <v>2</v>
      </c>
      <c r="D57" s="111">
        <v>2</v>
      </c>
      <c r="E57" s="100">
        <f t="shared" si="38"/>
        <v>15.44</v>
      </c>
      <c r="F57" s="100">
        <f t="shared" si="39"/>
        <v>8</v>
      </c>
      <c r="G57" s="100">
        <f t="shared" si="40"/>
        <v>18</v>
      </c>
      <c r="H57" s="100">
        <f t="shared" si="41"/>
        <v>6</v>
      </c>
      <c r="I57" s="100">
        <f t="shared" si="42"/>
        <v>2</v>
      </c>
      <c r="J57" s="100">
        <f t="shared" si="43"/>
        <v>2.2000000000000002</v>
      </c>
      <c r="K57" s="100">
        <f t="shared" si="44"/>
        <v>6.64</v>
      </c>
      <c r="L57" s="100">
        <f t="shared" si="45"/>
        <v>3.8</v>
      </c>
      <c r="M57" s="110"/>
      <c r="N57" s="102"/>
      <c r="O57" s="103"/>
      <c r="P57" s="102">
        <v>76.400000000000006</v>
      </c>
      <c r="Q57" s="104">
        <f t="shared" si="46"/>
        <v>76.400000000000006</v>
      </c>
      <c r="R57" s="104">
        <f t="shared" si="47"/>
        <v>0</v>
      </c>
    </row>
    <row r="58" spans="1:18">
      <c r="A58" s="11">
        <v>9</v>
      </c>
      <c r="B58" s="11" t="s">
        <v>76</v>
      </c>
      <c r="C58" s="109">
        <v>2</v>
      </c>
      <c r="D58" s="111">
        <v>2</v>
      </c>
      <c r="E58" s="100">
        <f t="shared" si="38"/>
        <v>15.44</v>
      </c>
      <c r="F58" s="100">
        <f t="shared" si="39"/>
        <v>8</v>
      </c>
      <c r="G58" s="100">
        <f t="shared" si="40"/>
        <v>18</v>
      </c>
      <c r="H58" s="100">
        <f t="shared" si="41"/>
        <v>6</v>
      </c>
      <c r="I58" s="100">
        <f t="shared" si="42"/>
        <v>2</v>
      </c>
      <c r="J58" s="100">
        <f t="shared" si="43"/>
        <v>2.2000000000000002</v>
      </c>
      <c r="K58" s="100">
        <f t="shared" si="44"/>
        <v>6.64</v>
      </c>
      <c r="L58" s="100">
        <f t="shared" si="45"/>
        <v>3.8</v>
      </c>
      <c r="M58" s="110"/>
      <c r="N58" s="102"/>
      <c r="O58" s="103"/>
      <c r="P58" s="102">
        <v>39.1</v>
      </c>
      <c r="Q58" s="104">
        <f t="shared" si="46"/>
        <v>39.1</v>
      </c>
      <c r="R58" s="104">
        <f t="shared" si="47"/>
        <v>0</v>
      </c>
    </row>
    <row r="59" spans="1:18">
      <c r="A59" s="11">
        <v>10</v>
      </c>
      <c r="B59" s="11" t="s">
        <v>77</v>
      </c>
      <c r="C59" s="109">
        <v>2</v>
      </c>
      <c r="D59" s="109">
        <v>1</v>
      </c>
      <c r="E59" s="100">
        <f t="shared" si="38"/>
        <v>7.72</v>
      </c>
      <c r="F59" s="100">
        <f t="shared" si="39"/>
        <v>4</v>
      </c>
      <c r="G59" s="100">
        <f t="shared" si="40"/>
        <v>9</v>
      </c>
      <c r="H59" s="100">
        <f t="shared" si="41"/>
        <v>3</v>
      </c>
      <c r="I59" s="100">
        <f t="shared" si="42"/>
        <v>1</v>
      </c>
      <c r="J59" s="100">
        <f t="shared" si="43"/>
        <v>1.1000000000000001</v>
      </c>
      <c r="K59" s="100">
        <f t="shared" si="44"/>
        <v>3.32</v>
      </c>
      <c r="L59" s="100">
        <f t="shared" si="45"/>
        <v>1.9</v>
      </c>
      <c r="M59" s="110"/>
      <c r="N59" s="102"/>
      <c r="O59" s="103"/>
      <c r="P59" s="102">
        <v>48.7</v>
      </c>
      <c r="Q59" s="104">
        <f t="shared" si="46"/>
        <v>48.7</v>
      </c>
      <c r="R59" s="104">
        <f t="shared" si="47"/>
        <v>0</v>
      </c>
    </row>
    <row r="60" spans="1:18">
      <c r="A60" s="11">
        <v>11</v>
      </c>
      <c r="B60" s="11" t="s">
        <v>78</v>
      </c>
      <c r="C60" s="109">
        <v>2</v>
      </c>
      <c r="D60" s="111">
        <v>1</v>
      </c>
      <c r="E60" s="100">
        <f t="shared" si="38"/>
        <v>7.72</v>
      </c>
      <c r="F60" s="100">
        <f t="shared" si="39"/>
        <v>4</v>
      </c>
      <c r="G60" s="100">
        <f t="shared" si="40"/>
        <v>9</v>
      </c>
      <c r="H60" s="100">
        <f t="shared" si="41"/>
        <v>3</v>
      </c>
      <c r="I60" s="100">
        <f t="shared" si="42"/>
        <v>1</v>
      </c>
      <c r="J60" s="100">
        <f t="shared" si="43"/>
        <v>1.1000000000000001</v>
      </c>
      <c r="K60" s="100">
        <f t="shared" si="44"/>
        <v>3.32</v>
      </c>
      <c r="L60" s="100">
        <f t="shared" si="45"/>
        <v>1.9</v>
      </c>
      <c r="M60" s="110"/>
      <c r="N60" s="102"/>
      <c r="O60" s="103"/>
      <c r="P60" s="102">
        <v>42.6</v>
      </c>
      <c r="Q60" s="104">
        <f t="shared" si="46"/>
        <v>42.6</v>
      </c>
      <c r="R60" s="104">
        <f t="shared" si="47"/>
        <v>0</v>
      </c>
    </row>
    <row r="61" spans="1:18">
      <c r="A61" s="11">
        <v>12</v>
      </c>
      <c r="B61" s="11" t="s">
        <v>79</v>
      </c>
      <c r="C61" s="109">
        <v>2</v>
      </c>
      <c r="D61" s="111">
        <v>1</v>
      </c>
      <c r="E61" s="100">
        <f t="shared" si="38"/>
        <v>7.72</v>
      </c>
      <c r="F61" s="100">
        <f t="shared" si="39"/>
        <v>4</v>
      </c>
      <c r="G61" s="100">
        <f t="shared" si="40"/>
        <v>9</v>
      </c>
      <c r="H61" s="100">
        <f t="shared" si="41"/>
        <v>3</v>
      </c>
      <c r="I61" s="100">
        <f t="shared" si="42"/>
        <v>1</v>
      </c>
      <c r="J61" s="100">
        <f t="shared" si="43"/>
        <v>1.1000000000000001</v>
      </c>
      <c r="K61" s="100">
        <f t="shared" si="44"/>
        <v>3.32</v>
      </c>
      <c r="L61" s="100">
        <f t="shared" si="45"/>
        <v>1.9</v>
      </c>
      <c r="M61" s="110"/>
      <c r="N61" s="102"/>
      <c r="O61" s="103"/>
      <c r="P61" s="102">
        <v>48.1</v>
      </c>
      <c r="Q61" s="104">
        <f t="shared" si="46"/>
        <v>48.1</v>
      </c>
      <c r="R61" s="104">
        <f t="shared" si="47"/>
        <v>0</v>
      </c>
    </row>
    <row r="62" spans="1:18">
      <c r="A62" s="11">
        <v>13</v>
      </c>
      <c r="B62" s="11" t="s">
        <v>81</v>
      </c>
      <c r="C62" s="109">
        <v>2</v>
      </c>
      <c r="D62" s="109">
        <v>2</v>
      </c>
      <c r="E62" s="100">
        <f t="shared" si="38"/>
        <v>15.44</v>
      </c>
      <c r="F62" s="100">
        <f t="shared" si="39"/>
        <v>8</v>
      </c>
      <c r="G62" s="100">
        <f t="shared" si="40"/>
        <v>18</v>
      </c>
      <c r="H62" s="100">
        <f t="shared" si="41"/>
        <v>6</v>
      </c>
      <c r="I62" s="100">
        <f t="shared" si="42"/>
        <v>2</v>
      </c>
      <c r="J62" s="100">
        <f t="shared" si="43"/>
        <v>2.2000000000000002</v>
      </c>
      <c r="K62" s="100">
        <f t="shared" si="44"/>
        <v>6.64</v>
      </c>
      <c r="L62" s="100">
        <f t="shared" si="45"/>
        <v>3.8</v>
      </c>
      <c r="M62" s="110"/>
      <c r="N62" s="102"/>
      <c r="O62" s="103"/>
      <c r="P62" s="102">
        <v>38.700000000000003</v>
      </c>
      <c r="Q62" s="104">
        <f t="shared" si="46"/>
        <v>38.700000000000003</v>
      </c>
      <c r="R62" s="104">
        <f t="shared" si="47"/>
        <v>0</v>
      </c>
    </row>
    <row r="63" spans="1:18">
      <c r="A63" s="11">
        <v>14</v>
      </c>
      <c r="B63" s="11" t="s">
        <v>82</v>
      </c>
      <c r="C63" s="109">
        <v>2</v>
      </c>
      <c r="D63" s="111">
        <v>2</v>
      </c>
      <c r="E63" s="100">
        <f t="shared" si="38"/>
        <v>15.44</v>
      </c>
      <c r="F63" s="100">
        <f t="shared" si="39"/>
        <v>8</v>
      </c>
      <c r="G63" s="100">
        <f t="shared" si="40"/>
        <v>18</v>
      </c>
      <c r="H63" s="100">
        <f t="shared" si="41"/>
        <v>6</v>
      </c>
      <c r="I63" s="100">
        <f t="shared" si="42"/>
        <v>2</v>
      </c>
      <c r="J63" s="100">
        <f t="shared" si="43"/>
        <v>2.2000000000000002</v>
      </c>
      <c r="K63" s="100">
        <f t="shared" si="44"/>
        <v>6.64</v>
      </c>
      <c r="L63" s="100">
        <f t="shared" si="45"/>
        <v>3.8</v>
      </c>
      <c r="M63" s="110"/>
      <c r="N63" s="102"/>
      <c r="O63" s="103"/>
      <c r="P63" s="102">
        <v>76.099999999999994</v>
      </c>
      <c r="Q63" s="104">
        <f t="shared" si="46"/>
        <v>76.099999999999994</v>
      </c>
      <c r="R63" s="104">
        <f t="shared" si="47"/>
        <v>0</v>
      </c>
    </row>
    <row r="64" spans="1:18">
      <c r="A64" s="11">
        <v>15</v>
      </c>
      <c r="B64" s="11" t="s">
        <v>83</v>
      </c>
      <c r="C64" s="112">
        <v>2</v>
      </c>
      <c r="D64" s="111">
        <v>1</v>
      </c>
      <c r="E64" s="100">
        <f t="shared" si="38"/>
        <v>7.72</v>
      </c>
      <c r="F64" s="100">
        <f t="shared" si="39"/>
        <v>4</v>
      </c>
      <c r="G64" s="100">
        <f t="shared" si="40"/>
        <v>9</v>
      </c>
      <c r="H64" s="100">
        <f t="shared" si="41"/>
        <v>3</v>
      </c>
      <c r="I64" s="100">
        <f t="shared" si="42"/>
        <v>1</v>
      </c>
      <c r="J64" s="100">
        <f t="shared" si="43"/>
        <v>1.1000000000000001</v>
      </c>
      <c r="K64" s="100">
        <f t="shared" si="44"/>
        <v>3.32</v>
      </c>
      <c r="L64" s="100">
        <f t="shared" si="45"/>
        <v>1.9</v>
      </c>
      <c r="M64" s="110"/>
      <c r="N64" s="102"/>
      <c r="O64" s="103"/>
      <c r="P64" s="102">
        <v>48.1</v>
      </c>
      <c r="Q64" s="104">
        <f t="shared" si="46"/>
        <v>48.1</v>
      </c>
      <c r="R64" s="104">
        <f t="shared" si="47"/>
        <v>0</v>
      </c>
    </row>
    <row r="65" spans="1:18">
      <c r="A65" s="11">
        <v>16</v>
      </c>
      <c r="B65" s="11" t="s">
        <v>84</v>
      </c>
      <c r="C65" s="109">
        <v>2</v>
      </c>
      <c r="D65" s="109">
        <v>2</v>
      </c>
      <c r="E65" s="100">
        <f t="shared" si="38"/>
        <v>15.44</v>
      </c>
      <c r="F65" s="100">
        <f t="shared" si="39"/>
        <v>8</v>
      </c>
      <c r="G65" s="100">
        <f t="shared" si="40"/>
        <v>18</v>
      </c>
      <c r="H65" s="100">
        <f t="shared" si="41"/>
        <v>6</v>
      </c>
      <c r="I65" s="100">
        <f t="shared" si="42"/>
        <v>2</v>
      </c>
      <c r="J65" s="100">
        <f t="shared" si="43"/>
        <v>2.2000000000000002</v>
      </c>
      <c r="K65" s="100">
        <f t="shared" si="44"/>
        <v>6.64</v>
      </c>
      <c r="L65" s="100">
        <f t="shared" si="45"/>
        <v>3.8</v>
      </c>
      <c r="M65" s="110"/>
      <c r="N65" s="102"/>
      <c r="O65" s="103"/>
      <c r="P65" s="102">
        <v>57</v>
      </c>
      <c r="Q65" s="104">
        <f t="shared" si="46"/>
        <v>57</v>
      </c>
      <c r="R65" s="104">
        <f t="shared" si="47"/>
        <v>0</v>
      </c>
    </row>
    <row r="66" spans="1:18">
      <c r="A66" s="11">
        <v>17</v>
      </c>
      <c r="B66" s="11" t="s">
        <v>85</v>
      </c>
      <c r="C66" s="109">
        <v>2</v>
      </c>
      <c r="D66" s="109">
        <v>2</v>
      </c>
      <c r="E66" s="100">
        <f t="shared" si="38"/>
        <v>15.44</v>
      </c>
      <c r="F66" s="100">
        <f t="shared" si="39"/>
        <v>8</v>
      </c>
      <c r="G66" s="100">
        <f t="shared" si="40"/>
        <v>18</v>
      </c>
      <c r="H66" s="100">
        <f t="shared" si="41"/>
        <v>6</v>
      </c>
      <c r="I66" s="100">
        <f t="shared" si="42"/>
        <v>2</v>
      </c>
      <c r="J66" s="100">
        <f t="shared" si="43"/>
        <v>2.2000000000000002</v>
      </c>
      <c r="K66" s="100">
        <f t="shared" si="44"/>
        <v>6.64</v>
      </c>
      <c r="L66" s="100">
        <f t="shared" si="45"/>
        <v>3.8</v>
      </c>
      <c r="M66" s="110"/>
      <c r="N66" s="102"/>
      <c r="O66" s="103"/>
      <c r="P66" s="102">
        <v>54.7</v>
      </c>
      <c r="Q66" s="104">
        <f t="shared" si="46"/>
        <v>54.7</v>
      </c>
      <c r="R66" s="104">
        <f t="shared" si="47"/>
        <v>0</v>
      </c>
    </row>
    <row r="67" spans="1:18">
      <c r="A67" s="11">
        <v>18</v>
      </c>
      <c r="B67" s="11" t="s">
        <v>86</v>
      </c>
      <c r="C67" s="109">
        <v>2</v>
      </c>
      <c r="D67" s="109">
        <v>1</v>
      </c>
      <c r="E67" s="100">
        <f t="shared" si="38"/>
        <v>7.72</v>
      </c>
      <c r="F67" s="100">
        <f t="shared" si="39"/>
        <v>4</v>
      </c>
      <c r="G67" s="100">
        <f t="shared" si="40"/>
        <v>9</v>
      </c>
      <c r="H67" s="100">
        <f t="shared" si="41"/>
        <v>3</v>
      </c>
      <c r="I67" s="100">
        <f t="shared" si="42"/>
        <v>1</v>
      </c>
      <c r="J67" s="100">
        <f t="shared" si="43"/>
        <v>1.1000000000000001</v>
      </c>
      <c r="K67" s="100">
        <f t="shared" si="44"/>
        <v>3.32</v>
      </c>
      <c r="L67" s="100">
        <f t="shared" si="45"/>
        <v>1.9</v>
      </c>
      <c r="M67" s="110"/>
      <c r="N67" s="102"/>
      <c r="O67" s="103"/>
      <c r="P67" s="102">
        <v>39.1</v>
      </c>
      <c r="Q67" s="104">
        <f t="shared" si="46"/>
        <v>39.1</v>
      </c>
      <c r="R67" s="104">
        <f t="shared" si="47"/>
        <v>0</v>
      </c>
    </row>
    <row r="68" spans="1:18">
      <c r="A68" s="11">
        <v>19</v>
      </c>
      <c r="B68" s="11" t="s">
        <v>87</v>
      </c>
      <c r="C68" s="109">
        <v>3</v>
      </c>
      <c r="D68" s="109">
        <v>1</v>
      </c>
      <c r="E68" s="100">
        <f t="shared" si="38"/>
        <v>11.58</v>
      </c>
      <c r="F68" s="100">
        <f t="shared" si="39"/>
        <v>4</v>
      </c>
      <c r="G68" s="100">
        <f t="shared" si="40"/>
        <v>13.5</v>
      </c>
      <c r="H68" s="100">
        <f t="shared" si="41"/>
        <v>4</v>
      </c>
      <c r="I68" s="100">
        <f t="shared" si="42"/>
        <v>1.5</v>
      </c>
      <c r="J68" s="100">
        <f t="shared" si="43"/>
        <v>1.6500000000000001</v>
      </c>
      <c r="K68" s="100">
        <f t="shared" si="44"/>
        <v>4.9799999999999995</v>
      </c>
      <c r="L68" s="100">
        <f t="shared" si="45"/>
        <v>2.8499999999999996</v>
      </c>
      <c r="M68" s="110"/>
      <c r="N68" s="102"/>
      <c r="O68" s="103"/>
      <c r="P68" s="102">
        <v>60.4</v>
      </c>
      <c r="Q68" s="104">
        <f t="shared" si="46"/>
        <v>40.266666666666666</v>
      </c>
      <c r="R68" s="104">
        <f t="shared" si="47"/>
        <v>20.133333333333333</v>
      </c>
    </row>
    <row r="69" spans="1:18">
      <c r="A69" s="11">
        <v>20</v>
      </c>
      <c r="B69" s="11" t="s">
        <v>88</v>
      </c>
      <c r="C69" s="109">
        <v>2</v>
      </c>
      <c r="D69" s="109">
        <v>1</v>
      </c>
      <c r="E69" s="100">
        <f t="shared" si="38"/>
        <v>7.72</v>
      </c>
      <c r="F69" s="100">
        <f t="shared" si="39"/>
        <v>4</v>
      </c>
      <c r="G69" s="100">
        <f t="shared" si="40"/>
        <v>9</v>
      </c>
      <c r="H69" s="100">
        <f t="shared" si="41"/>
        <v>3</v>
      </c>
      <c r="I69" s="100">
        <f t="shared" si="42"/>
        <v>1</v>
      </c>
      <c r="J69" s="100">
        <f t="shared" si="43"/>
        <v>1.1000000000000001</v>
      </c>
      <c r="K69" s="100">
        <f t="shared" si="44"/>
        <v>3.32</v>
      </c>
      <c r="L69" s="100">
        <f t="shared" si="45"/>
        <v>1.9</v>
      </c>
      <c r="M69" s="110"/>
      <c r="N69" s="102"/>
      <c r="O69" s="103"/>
      <c r="P69" s="102">
        <v>39.9</v>
      </c>
      <c r="Q69" s="104">
        <f t="shared" si="46"/>
        <v>39.9</v>
      </c>
      <c r="R69" s="104">
        <f t="shared" si="47"/>
        <v>0</v>
      </c>
    </row>
    <row r="70" spans="1:18">
      <c r="A70" s="11">
        <v>21</v>
      </c>
      <c r="B70" s="11" t="s">
        <v>89</v>
      </c>
      <c r="C70" s="109">
        <v>2</v>
      </c>
      <c r="D70" s="109">
        <v>1</v>
      </c>
      <c r="E70" s="100">
        <f t="shared" si="38"/>
        <v>7.72</v>
      </c>
      <c r="F70" s="100">
        <f t="shared" si="39"/>
        <v>4</v>
      </c>
      <c r="G70" s="100">
        <f t="shared" si="40"/>
        <v>9</v>
      </c>
      <c r="H70" s="100">
        <f t="shared" si="41"/>
        <v>3</v>
      </c>
      <c r="I70" s="100">
        <f t="shared" si="42"/>
        <v>1</v>
      </c>
      <c r="J70" s="100">
        <f t="shared" si="43"/>
        <v>1.1000000000000001</v>
      </c>
      <c r="K70" s="100">
        <f t="shared" si="44"/>
        <v>3.32</v>
      </c>
      <c r="L70" s="100">
        <f t="shared" si="45"/>
        <v>1.9</v>
      </c>
      <c r="M70" s="110"/>
      <c r="N70" s="102"/>
      <c r="O70" s="103"/>
      <c r="P70" s="102">
        <v>39.799999999999997</v>
      </c>
      <c r="Q70" s="104">
        <f t="shared" si="46"/>
        <v>39.799999999999997</v>
      </c>
      <c r="R70" s="104">
        <f t="shared" si="47"/>
        <v>0</v>
      </c>
    </row>
    <row r="71" spans="1:18">
      <c r="A71" s="11">
        <v>22</v>
      </c>
      <c r="B71" s="11" t="s">
        <v>90</v>
      </c>
      <c r="C71" s="109">
        <v>2</v>
      </c>
      <c r="D71" s="109">
        <v>1</v>
      </c>
      <c r="E71" s="100">
        <f t="shared" si="38"/>
        <v>7.72</v>
      </c>
      <c r="F71" s="100">
        <f t="shared" si="39"/>
        <v>4</v>
      </c>
      <c r="G71" s="100">
        <f t="shared" si="40"/>
        <v>9</v>
      </c>
      <c r="H71" s="100">
        <f t="shared" si="41"/>
        <v>3</v>
      </c>
      <c r="I71" s="100">
        <f t="shared" si="42"/>
        <v>1</v>
      </c>
      <c r="J71" s="100">
        <f t="shared" si="43"/>
        <v>1.1000000000000001</v>
      </c>
      <c r="K71" s="100">
        <f t="shared" si="44"/>
        <v>3.32</v>
      </c>
      <c r="L71" s="100">
        <f t="shared" si="45"/>
        <v>1.9</v>
      </c>
      <c r="M71" s="110"/>
      <c r="N71" s="102"/>
      <c r="O71" s="103"/>
      <c r="P71" s="102">
        <v>39.1</v>
      </c>
      <c r="Q71" s="104">
        <f t="shared" si="46"/>
        <v>39.1</v>
      </c>
      <c r="R71" s="104">
        <f t="shared" si="47"/>
        <v>0</v>
      </c>
    </row>
    <row r="72" spans="1:18">
      <c r="A72" s="11">
        <v>23</v>
      </c>
      <c r="B72" s="11" t="s">
        <v>91</v>
      </c>
      <c r="C72" s="109">
        <v>2</v>
      </c>
      <c r="D72" s="109">
        <v>2</v>
      </c>
      <c r="E72" s="100">
        <f t="shared" si="38"/>
        <v>15.44</v>
      </c>
      <c r="F72" s="100">
        <f t="shared" si="39"/>
        <v>8</v>
      </c>
      <c r="G72" s="100">
        <f t="shared" si="40"/>
        <v>18</v>
      </c>
      <c r="H72" s="100">
        <f t="shared" si="41"/>
        <v>6</v>
      </c>
      <c r="I72" s="100">
        <f t="shared" si="42"/>
        <v>2</v>
      </c>
      <c r="J72" s="100">
        <f t="shared" si="43"/>
        <v>2.2000000000000002</v>
      </c>
      <c r="K72" s="100">
        <f t="shared" si="44"/>
        <v>6.64</v>
      </c>
      <c r="L72" s="100">
        <f t="shared" si="45"/>
        <v>3.8</v>
      </c>
      <c r="M72" s="110"/>
      <c r="N72" s="102"/>
      <c r="O72" s="103"/>
      <c r="P72" s="102">
        <v>59.1</v>
      </c>
      <c r="Q72" s="104">
        <f t="shared" si="46"/>
        <v>59.1</v>
      </c>
      <c r="R72" s="104">
        <f t="shared" si="47"/>
        <v>0</v>
      </c>
    </row>
    <row r="73" spans="1:18">
      <c r="A73" s="11">
        <v>24</v>
      </c>
      <c r="B73" s="11" t="s">
        <v>92</v>
      </c>
      <c r="C73" s="109">
        <v>2</v>
      </c>
      <c r="D73" s="111">
        <v>1</v>
      </c>
      <c r="E73" s="100">
        <f t="shared" si="38"/>
        <v>7.72</v>
      </c>
      <c r="F73" s="100">
        <f t="shared" si="39"/>
        <v>4</v>
      </c>
      <c r="G73" s="100">
        <f t="shared" si="40"/>
        <v>9</v>
      </c>
      <c r="H73" s="100">
        <f t="shared" si="41"/>
        <v>3</v>
      </c>
      <c r="I73" s="100">
        <f t="shared" si="42"/>
        <v>1</v>
      </c>
      <c r="J73" s="100">
        <f t="shared" si="43"/>
        <v>1.1000000000000001</v>
      </c>
      <c r="K73" s="100">
        <f t="shared" si="44"/>
        <v>3.32</v>
      </c>
      <c r="L73" s="100">
        <f t="shared" si="45"/>
        <v>1.9</v>
      </c>
      <c r="M73" s="110"/>
      <c r="N73" s="102"/>
      <c r="O73" s="103"/>
      <c r="P73" s="102">
        <v>39.6</v>
      </c>
      <c r="Q73" s="104">
        <f t="shared" si="46"/>
        <v>39.6</v>
      </c>
      <c r="R73" s="104">
        <f t="shared" si="47"/>
        <v>0</v>
      </c>
    </row>
    <row r="74" spans="1:18">
      <c r="A74" s="11">
        <v>25</v>
      </c>
      <c r="B74" s="11" t="s">
        <v>93</v>
      </c>
      <c r="C74" s="109">
        <v>2</v>
      </c>
      <c r="D74" s="109">
        <v>1</v>
      </c>
      <c r="E74" s="100">
        <f t="shared" si="38"/>
        <v>7.72</v>
      </c>
      <c r="F74" s="100">
        <f t="shared" si="39"/>
        <v>4</v>
      </c>
      <c r="G74" s="100">
        <f t="shared" si="40"/>
        <v>9</v>
      </c>
      <c r="H74" s="100">
        <f t="shared" si="41"/>
        <v>3</v>
      </c>
      <c r="I74" s="100">
        <f t="shared" si="42"/>
        <v>1</v>
      </c>
      <c r="J74" s="100">
        <f t="shared" si="43"/>
        <v>1.1000000000000001</v>
      </c>
      <c r="K74" s="100">
        <f t="shared" si="44"/>
        <v>3.32</v>
      </c>
      <c r="L74" s="100">
        <f t="shared" si="45"/>
        <v>1.9</v>
      </c>
      <c r="M74" s="110"/>
      <c r="N74" s="102"/>
      <c r="O74" s="103"/>
      <c r="P74" s="102">
        <v>38.799999999999997</v>
      </c>
      <c r="Q74" s="104">
        <f t="shared" si="46"/>
        <v>38.799999999999997</v>
      </c>
      <c r="R74" s="104">
        <f t="shared" si="47"/>
        <v>0</v>
      </c>
    </row>
    <row r="75" spans="1:18">
      <c r="A75" s="11">
        <v>26</v>
      </c>
      <c r="B75" s="11" t="s">
        <v>94</v>
      </c>
      <c r="C75" s="109">
        <v>2</v>
      </c>
      <c r="D75" s="109">
        <v>1</v>
      </c>
      <c r="E75" s="100">
        <f t="shared" si="38"/>
        <v>7.72</v>
      </c>
      <c r="F75" s="100">
        <f t="shared" si="39"/>
        <v>4</v>
      </c>
      <c r="G75" s="100">
        <f t="shared" si="40"/>
        <v>9</v>
      </c>
      <c r="H75" s="100">
        <f t="shared" si="41"/>
        <v>3</v>
      </c>
      <c r="I75" s="100">
        <f t="shared" si="42"/>
        <v>1</v>
      </c>
      <c r="J75" s="100">
        <f t="shared" si="43"/>
        <v>1.1000000000000001</v>
      </c>
      <c r="K75" s="100">
        <f t="shared" si="44"/>
        <v>3.32</v>
      </c>
      <c r="L75" s="100">
        <f t="shared" si="45"/>
        <v>1.9</v>
      </c>
      <c r="M75" s="110"/>
      <c r="N75" s="102"/>
      <c r="O75" s="103"/>
      <c r="P75" s="102">
        <v>39.299999999999997</v>
      </c>
      <c r="Q75" s="104">
        <f t="shared" si="46"/>
        <v>39.299999999999997</v>
      </c>
      <c r="R75" s="104">
        <f t="shared" si="47"/>
        <v>0</v>
      </c>
    </row>
    <row r="76" spans="1:18">
      <c r="A76" s="11">
        <v>27</v>
      </c>
      <c r="B76" s="11" t="s">
        <v>95</v>
      </c>
      <c r="C76" s="109">
        <v>2</v>
      </c>
      <c r="D76" s="109">
        <v>1</v>
      </c>
      <c r="E76" s="100">
        <f t="shared" si="38"/>
        <v>7.72</v>
      </c>
      <c r="F76" s="100">
        <f t="shared" si="39"/>
        <v>4</v>
      </c>
      <c r="G76" s="100">
        <f t="shared" si="40"/>
        <v>9</v>
      </c>
      <c r="H76" s="100">
        <f t="shared" si="41"/>
        <v>3</v>
      </c>
      <c r="I76" s="100">
        <f t="shared" si="42"/>
        <v>1</v>
      </c>
      <c r="J76" s="100">
        <f t="shared" si="43"/>
        <v>1.1000000000000001</v>
      </c>
      <c r="K76" s="100">
        <f t="shared" si="44"/>
        <v>3.32</v>
      </c>
      <c r="L76" s="100">
        <f t="shared" si="45"/>
        <v>1.9</v>
      </c>
      <c r="M76" s="110"/>
      <c r="N76" s="102"/>
      <c r="O76" s="103"/>
      <c r="P76" s="102">
        <v>39.299999999999997</v>
      </c>
      <c r="Q76" s="104">
        <f t="shared" si="46"/>
        <v>39.299999999999997</v>
      </c>
      <c r="R76" s="104">
        <f t="shared" si="47"/>
        <v>0</v>
      </c>
    </row>
    <row r="77" spans="1:18">
      <c r="A77" s="11">
        <v>28</v>
      </c>
      <c r="B77" s="11" t="s">
        <v>96</v>
      </c>
      <c r="C77" s="109">
        <v>2</v>
      </c>
      <c r="D77" s="109">
        <v>1</v>
      </c>
      <c r="E77" s="100">
        <f t="shared" si="38"/>
        <v>7.72</v>
      </c>
      <c r="F77" s="100">
        <f t="shared" si="39"/>
        <v>4</v>
      </c>
      <c r="G77" s="100">
        <f t="shared" si="40"/>
        <v>9</v>
      </c>
      <c r="H77" s="100">
        <f t="shared" si="41"/>
        <v>3</v>
      </c>
      <c r="I77" s="100">
        <f t="shared" si="42"/>
        <v>1</v>
      </c>
      <c r="J77" s="100">
        <f t="shared" si="43"/>
        <v>1.1000000000000001</v>
      </c>
      <c r="K77" s="100">
        <f t="shared" si="44"/>
        <v>3.32</v>
      </c>
      <c r="L77" s="100">
        <f t="shared" si="45"/>
        <v>1.9</v>
      </c>
      <c r="M77" s="110"/>
      <c r="N77" s="102"/>
      <c r="O77" s="103"/>
      <c r="P77" s="102">
        <v>39</v>
      </c>
      <c r="Q77" s="104">
        <f t="shared" si="46"/>
        <v>39</v>
      </c>
      <c r="R77" s="104">
        <f t="shared" si="47"/>
        <v>0</v>
      </c>
    </row>
    <row r="78" spans="1:18">
      <c r="A78" s="11">
        <v>29</v>
      </c>
      <c r="B78" s="11" t="s">
        <v>97</v>
      </c>
      <c r="C78" s="109">
        <v>2</v>
      </c>
      <c r="D78" s="111">
        <v>1</v>
      </c>
      <c r="E78" s="100">
        <f t="shared" si="38"/>
        <v>7.72</v>
      </c>
      <c r="F78" s="100">
        <f t="shared" si="39"/>
        <v>4</v>
      </c>
      <c r="G78" s="100">
        <f t="shared" si="40"/>
        <v>9</v>
      </c>
      <c r="H78" s="100">
        <f t="shared" si="41"/>
        <v>3</v>
      </c>
      <c r="I78" s="100">
        <f t="shared" si="42"/>
        <v>1</v>
      </c>
      <c r="J78" s="100">
        <f t="shared" si="43"/>
        <v>1.1000000000000001</v>
      </c>
      <c r="K78" s="100">
        <f t="shared" si="44"/>
        <v>3.32</v>
      </c>
      <c r="L78" s="100">
        <f t="shared" si="45"/>
        <v>1.9</v>
      </c>
      <c r="M78" s="110"/>
      <c r="N78" s="102"/>
      <c r="O78" s="103"/>
      <c r="P78" s="102">
        <v>45.2</v>
      </c>
      <c r="Q78" s="104">
        <f t="shared" si="46"/>
        <v>45.2</v>
      </c>
      <c r="R78" s="104">
        <f t="shared" si="47"/>
        <v>0</v>
      </c>
    </row>
    <row r="79" spans="1:18">
      <c r="A79" s="11">
        <v>30</v>
      </c>
      <c r="B79" s="11" t="s">
        <v>98</v>
      </c>
      <c r="C79" s="109">
        <v>2</v>
      </c>
      <c r="D79" s="111">
        <v>1</v>
      </c>
      <c r="E79" s="100">
        <f t="shared" si="38"/>
        <v>7.72</v>
      </c>
      <c r="F79" s="100">
        <f t="shared" si="39"/>
        <v>4</v>
      </c>
      <c r="G79" s="100">
        <f t="shared" si="40"/>
        <v>9</v>
      </c>
      <c r="H79" s="100">
        <f t="shared" si="41"/>
        <v>3</v>
      </c>
      <c r="I79" s="100">
        <f t="shared" si="42"/>
        <v>1</v>
      </c>
      <c r="J79" s="100">
        <f t="shared" si="43"/>
        <v>1.1000000000000001</v>
      </c>
      <c r="K79" s="100">
        <f t="shared" si="44"/>
        <v>3.32</v>
      </c>
      <c r="L79" s="100">
        <f t="shared" si="45"/>
        <v>1.9</v>
      </c>
      <c r="M79" s="110"/>
      <c r="N79" s="110"/>
      <c r="O79" s="113"/>
      <c r="P79" s="110">
        <v>47.8</v>
      </c>
      <c r="Q79" s="104">
        <f t="shared" si="46"/>
        <v>47.8</v>
      </c>
      <c r="R79" s="104">
        <f t="shared" si="47"/>
        <v>0</v>
      </c>
    </row>
    <row r="80" spans="1:18">
      <c r="A80" s="11">
        <v>31</v>
      </c>
      <c r="B80" s="11" t="s">
        <v>99</v>
      </c>
      <c r="C80" s="109">
        <v>2</v>
      </c>
      <c r="D80" s="111">
        <v>1</v>
      </c>
      <c r="E80" s="100">
        <f t="shared" si="38"/>
        <v>7.72</v>
      </c>
      <c r="F80" s="100">
        <f t="shared" si="39"/>
        <v>4</v>
      </c>
      <c r="G80" s="100">
        <f t="shared" si="40"/>
        <v>9</v>
      </c>
      <c r="H80" s="100">
        <f t="shared" si="41"/>
        <v>3</v>
      </c>
      <c r="I80" s="100">
        <f t="shared" si="42"/>
        <v>1</v>
      </c>
      <c r="J80" s="100">
        <f t="shared" si="43"/>
        <v>1.1000000000000001</v>
      </c>
      <c r="K80" s="100">
        <f t="shared" si="44"/>
        <v>3.32</v>
      </c>
      <c r="L80" s="100">
        <f t="shared" si="45"/>
        <v>1.9</v>
      </c>
      <c r="M80" s="110"/>
      <c r="N80" s="102"/>
      <c r="O80" s="103"/>
      <c r="P80" s="102">
        <v>48.7</v>
      </c>
      <c r="Q80" s="104">
        <f t="shared" si="46"/>
        <v>48.7</v>
      </c>
      <c r="R80" s="104">
        <f t="shared" si="47"/>
        <v>0</v>
      </c>
    </row>
    <row r="81" spans="1:18">
      <c r="A81" s="11">
        <v>32</v>
      </c>
      <c r="B81" s="11" t="s">
        <v>100</v>
      </c>
      <c r="C81" s="112">
        <v>2</v>
      </c>
      <c r="D81" s="111">
        <v>1</v>
      </c>
      <c r="E81" s="100">
        <f t="shared" si="38"/>
        <v>7.72</v>
      </c>
      <c r="F81" s="100">
        <f t="shared" si="39"/>
        <v>4</v>
      </c>
      <c r="G81" s="100">
        <f t="shared" si="40"/>
        <v>9</v>
      </c>
      <c r="H81" s="100">
        <f t="shared" si="41"/>
        <v>3</v>
      </c>
      <c r="I81" s="100">
        <f t="shared" si="42"/>
        <v>1</v>
      </c>
      <c r="J81" s="100">
        <f t="shared" si="43"/>
        <v>1.1000000000000001</v>
      </c>
      <c r="K81" s="100">
        <f t="shared" si="44"/>
        <v>3.32</v>
      </c>
      <c r="L81" s="100">
        <f t="shared" si="45"/>
        <v>1.9</v>
      </c>
      <c r="M81" s="110"/>
      <c r="N81" s="102"/>
      <c r="O81" s="103"/>
      <c r="P81" s="102">
        <v>48.7</v>
      </c>
      <c r="Q81" s="104">
        <f t="shared" si="46"/>
        <v>48.7</v>
      </c>
      <c r="R81" s="104">
        <f t="shared" si="47"/>
        <v>0</v>
      </c>
    </row>
    <row r="82" spans="1:18">
      <c r="A82" s="11">
        <v>33</v>
      </c>
      <c r="B82" s="11" t="s">
        <v>101</v>
      </c>
      <c r="C82" s="109">
        <v>2</v>
      </c>
      <c r="D82" s="109">
        <v>2</v>
      </c>
      <c r="E82" s="100">
        <f t="shared" si="38"/>
        <v>15.44</v>
      </c>
      <c r="F82" s="100">
        <f t="shared" si="39"/>
        <v>8</v>
      </c>
      <c r="G82" s="100">
        <f t="shared" si="40"/>
        <v>18</v>
      </c>
      <c r="H82" s="100">
        <f t="shared" si="41"/>
        <v>6</v>
      </c>
      <c r="I82" s="100">
        <f t="shared" si="42"/>
        <v>2</v>
      </c>
      <c r="J82" s="100">
        <f t="shared" si="43"/>
        <v>2.2000000000000002</v>
      </c>
      <c r="K82" s="100">
        <f t="shared" si="44"/>
        <v>6.64</v>
      </c>
      <c r="L82" s="100">
        <f t="shared" si="45"/>
        <v>3.8</v>
      </c>
      <c r="M82" s="110"/>
      <c r="N82" s="102"/>
      <c r="O82" s="103"/>
      <c r="P82" s="102">
        <v>103.2</v>
      </c>
      <c r="Q82" s="104">
        <f t="shared" si="46"/>
        <v>103.2</v>
      </c>
      <c r="R82" s="104">
        <f t="shared" si="47"/>
        <v>0</v>
      </c>
    </row>
    <row r="83" spans="1:18">
      <c r="A83" s="11">
        <v>34</v>
      </c>
      <c r="B83" s="11" t="s">
        <v>102</v>
      </c>
      <c r="C83" s="109">
        <v>2</v>
      </c>
      <c r="D83" s="111">
        <v>1</v>
      </c>
      <c r="E83" s="100">
        <f t="shared" si="38"/>
        <v>7.72</v>
      </c>
      <c r="F83" s="100">
        <f t="shared" si="39"/>
        <v>4</v>
      </c>
      <c r="G83" s="100">
        <f t="shared" si="40"/>
        <v>9</v>
      </c>
      <c r="H83" s="100">
        <f t="shared" si="41"/>
        <v>3</v>
      </c>
      <c r="I83" s="100">
        <f t="shared" si="42"/>
        <v>1</v>
      </c>
      <c r="J83" s="100">
        <f t="shared" si="43"/>
        <v>1.1000000000000001</v>
      </c>
      <c r="K83" s="100">
        <f t="shared" si="44"/>
        <v>3.32</v>
      </c>
      <c r="L83" s="100">
        <f t="shared" si="45"/>
        <v>1.9</v>
      </c>
      <c r="M83" s="110"/>
      <c r="N83" s="102"/>
      <c r="O83" s="103"/>
      <c r="P83" s="102">
        <v>42.9</v>
      </c>
      <c r="Q83" s="104">
        <f t="shared" si="46"/>
        <v>42.9</v>
      </c>
      <c r="R83" s="104">
        <f t="shared" si="47"/>
        <v>0</v>
      </c>
    </row>
    <row r="84" spans="1:18">
      <c r="A84" s="11">
        <v>35</v>
      </c>
      <c r="B84" s="11" t="s">
        <v>103</v>
      </c>
      <c r="C84" s="109">
        <v>2</v>
      </c>
      <c r="D84" s="109">
        <v>3</v>
      </c>
      <c r="E84" s="100">
        <f t="shared" si="38"/>
        <v>23.16</v>
      </c>
      <c r="F84" s="100">
        <f t="shared" si="39"/>
        <v>12</v>
      </c>
      <c r="G84" s="100">
        <f t="shared" si="40"/>
        <v>27</v>
      </c>
      <c r="H84" s="100">
        <f t="shared" si="41"/>
        <v>9</v>
      </c>
      <c r="I84" s="100">
        <f t="shared" si="42"/>
        <v>3</v>
      </c>
      <c r="J84" s="100">
        <f t="shared" si="43"/>
        <v>3.3000000000000003</v>
      </c>
      <c r="K84" s="100">
        <f t="shared" si="44"/>
        <v>9.9599999999999991</v>
      </c>
      <c r="L84" s="100">
        <f t="shared" si="45"/>
        <v>5.6999999999999993</v>
      </c>
      <c r="M84" s="110"/>
      <c r="N84" s="102"/>
      <c r="O84" s="103"/>
      <c r="P84" s="102">
        <v>103.5</v>
      </c>
      <c r="Q84" s="104">
        <f t="shared" si="46"/>
        <v>103.5</v>
      </c>
      <c r="R84" s="104">
        <f t="shared" si="47"/>
        <v>0</v>
      </c>
    </row>
    <row r="85" spans="1:18">
      <c r="A85" s="11">
        <v>36</v>
      </c>
      <c r="B85" s="11" t="s">
        <v>104</v>
      </c>
      <c r="C85" s="109">
        <v>2</v>
      </c>
      <c r="D85" s="109">
        <v>3</v>
      </c>
      <c r="E85" s="100">
        <f t="shared" si="38"/>
        <v>23.16</v>
      </c>
      <c r="F85" s="100">
        <f t="shared" si="39"/>
        <v>12</v>
      </c>
      <c r="G85" s="100">
        <f t="shared" si="40"/>
        <v>27</v>
      </c>
      <c r="H85" s="100">
        <f t="shared" si="41"/>
        <v>9</v>
      </c>
      <c r="I85" s="100">
        <f t="shared" si="42"/>
        <v>3</v>
      </c>
      <c r="J85" s="100">
        <f t="shared" si="43"/>
        <v>3.3000000000000003</v>
      </c>
      <c r="K85" s="100">
        <f t="shared" si="44"/>
        <v>9.9599999999999991</v>
      </c>
      <c r="L85" s="100">
        <f t="shared" si="45"/>
        <v>5.6999999999999993</v>
      </c>
      <c r="M85" s="110"/>
      <c r="N85" s="102"/>
      <c r="O85" s="103"/>
      <c r="P85" s="102">
        <v>103.2</v>
      </c>
      <c r="Q85" s="104">
        <f t="shared" si="46"/>
        <v>103.2</v>
      </c>
      <c r="R85" s="104">
        <f t="shared" si="47"/>
        <v>0</v>
      </c>
    </row>
    <row r="86" spans="1:18">
      <c r="A86" s="11">
        <v>37</v>
      </c>
      <c r="B86" s="11" t="s">
        <v>105</v>
      </c>
      <c r="C86" s="109">
        <v>2</v>
      </c>
      <c r="D86" s="111">
        <v>1</v>
      </c>
      <c r="E86" s="100">
        <f t="shared" si="38"/>
        <v>7.72</v>
      </c>
      <c r="F86" s="100">
        <f t="shared" si="39"/>
        <v>4</v>
      </c>
      <c r="G86" s="100">
        <f t="shared" si="40"/>
        <v>9</v>
      </c>
      <c r="H86" s="100">
        <f t="shared" si="41"/>
        <v>3</v>
      </c>
      <c r="I86" s="100">
        <f t="shared" si="42"/>
        <v>1</v>
      </c>
      <c r="J86" s="100">
        <f t="shared" si="43"/>
        <v>1.1000000000000001</v>
      </c>
      <c r="K86" s="100">
        <f t="shared" si="44"/>
        <v>3.32</v>
      </c>
      <c r="L86" s="100">
        <f t="shared" si="45"/>
        <v>1.9</v>
      </c>
      <c r="M86" s="110"/>
      <c r="N86" s="102"/>
      <c r="O86" s="103"/>
      <c r="P86" s="102">
        <v>23.5</v>
      </c>
      <c r="Q86" s="104">
        <f t="shared" si="46"/>
        <v>23.5</v>
      </c>
      <c r="R86" s="104">
        <f t="shared" si="47"/>
        <v>0</v>
      </c>
    </row>
    <row r="87" spans="1:18">
      <c r="A87" s="11">
        <v>38</v>
      </c>
      <c r="B87" s="11" t="s">
        <v>106</v>
      </c>
      <c r="C87" s="109">
        <v>2</v>
      </c>
      <c r="D87" s="111">
        <v>1</v>
      </c>
      <c r="E87" s="100">
        <f t="shared" si="38"/>
        <v>7.72</v>
      </c>
      <c r="F87" s="100">
        <f t="shared" si="39"/>
        <v>4</v>
      </c>
      <c r="G87" s="100">
        <f t="shared" si="40"/>
        <v>9</v>
      </c>
      <c r="H87" s="100">
        <f t="shared" si="41"/>
        <v>3</v>
      </c>
      <c r="I87" s="100">
        <f t="shared" si="42"/>
        <v>1</v>
      </c>
      <c r="J87" s="100">
        <f t="shared" si="43"/>
        <v>1.1000000000000001</v>
      </c>
      <c r="K87" s="100">
        <f t="shared" si="44"/>
        <v>3.32</v>
      </c>
      <c r="L87" s="100">
        <f t="shared" si="45"/>
        <v>1.9</v>
      </c>
      <c r="M87" s="110"/>
      <c r="N87" s="102"/>
      <c r="O87" s="103"/>
      <c r="P87" s="102">
        <v>49.3</v>
      </c>
      <c r="Q87" s="104">
        <f t="shared" si="46"/>
        <v>49.3</v>
      </c>
      <c r="R87" s="104">
        <f t="shared" si="47"/>
        <v>0</v>
      </c>
    </row>
    <row r="88" spans="1:18">
      <c r="A88" s="48">
        <v>38</v>
      </c>
      <c r="B88" s="48" t="s">
        <v>20</v>
      </c>
      <c r="C88" s="114"/>
      <c r="D88" s="115">
        <f t="shared" ref="D88:R88" si="48">SUM(D50:D87)</f>
        <v>51</v>
      </c>
      <c r="E88" s="116">
        <f t="shared" si="48"/>
        <v>397.58000000000033</v>
      </c>
      <c r="F88" s="116">
        <f t="shared" si="48"/>
        <v>204</v>
      </c>
      <c r="G88" s="116">
        <f t="shared" si="48"/>
        <v>463.5</v>
      </c>
      <c r="H88" s="116">
        <f t="shared" si="48"/>
        <v>154</v>
      </c>
      <c r="I88" s="116">
        <f t="shared" si="48"/>
        <v>51.5</v>
      </c>
      <c r="J88" s="116">
        <f t="shared" si="48"/>
        <v>56.65000000000002</v>
      </c>
      <c r="K88" s="116">
        <f t="shared" si="48"/>
        <v>170.9799999999999</v>
      </c>
      <c r="L88" s="116">
        <f t="shared" si="48"/>
        <v>97.850000000000037</v>
      </c>
      <c r="M88" s="116">
        <f t="shared" si="48"/>
        <v>0</v>
      </c>
      <c r="N88" s="116">
        <f t="shared" si="48"/>
        <v>0</v>
      </c>
      <c r="O88" s="116">
        <f t="shared" si="48"/>
        <v>0</v>
      </c>
      <c r="P88" s="116">
        <f t="shared" si="48"/>
        <v>1933</v>
      </c>
      <c r="Q88" s="116">
        <f t="shared" si="48"/>
        <v>1912.8666666666666</v>
      </c>
      <c r="R88" s="116">
        <f t="shared" si="48"/>
        <v>20.133333333333333</v>
      </c>
    </row>
    <row r="89" spans="1:18" ht="14.85" customHeight="1">
      <c r="A89" s="154" t="s">
        <v>107</v>
      </c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</row>
    <row r="90" spans="1:18">
      <c r="A90" s="11">
        <v>1</v>
      </c>
      <c r="B90" s="11" t="s">
        <v>108</v>
      </c>
      <c r="C90" s="11">
        <v>5</v>
      </c>
      <c r="D90" s="11">
        <v>4</v>
      </c>
      <c r="E90" s="104">
        <f t="shared" ref="E90:E121" si="49">3.86*C90*D90</f>
        <v>77.2</v>
      </c>
      <c r="F90" s="104">
        <f t="shared" ref="F90:F121" si="50">4*D90</f>
        <v>16</v>
      </c>
      <c r="G90" s="104">
        <f t="shared" ref="G90:G121" si="51">4.5*C90*D90</f>
        <v>90</v>
      </c>
      <c r="H90" s="104">
        <f t="shared" ref="H90:H121" si="52">1*C90*D90+1*D90</f>
        <v>24</v>
      </c>
      <c r="I90" s="104">
        <f t="shared" ref="I90:I121" si="53">0.5*C90*D90</f>
        <v>10</v>
      </c>
      <c r="J90" s="104">
        <f t="shared" ref="J90:J121" si="54">0.55*C90*D90</f>
        <v>11</v>
      </c>
      <c r="K90" s="104">
        <f t="shared" ref="K90:K121" si="55">1.66*C90*D90</f>
        <v>33.199999999999996</v>
      </c>
      <c r="L90" s="104">
        <f t="shared" ref="L90:L121" si="56">0.95*C90*D90</f>
        <v>19</v>
      </c>
      <c r="M90" s="104"/>
      <c r="N90" s="104"/>
      <c r="O90" s="104"/>
      <c r="P90" s="100">
        <v>252.3</v>
      </c>
      <c r="Q90" s="104">
        <f t="shared" ref="Q90:Q121" si="57">P90/C90*2</f>
        <v>100.92</v>
      </c>
      <c r="R90" s="104">
        <f t="shared" ref="R90:R121" si="58">P90-Q90</f>
        <v>151.38</v>
      </c>
    </row>
    <row r="91" spans="1:18">
      <c r="A91" s="11">
        <v>2</v>
      </c>
      <c r="B91" s="11" t="s">
        <v>109</v>
      </c>
      <c r="C91" s="11">
        <v>5</v>
      </c>
      <c r="D91" s="11">
        <v>4</v>
      </c>
      <c r="E91" s="104">
        <f t="shared" si="49"/>
        <v>77.2</v>
      </c>
      <c r="F91" s="104">
        <f t="shared" si="50"/>
        <v>16</v>
      </c>
      <c r="G91" s="104">
        <f t="shared" si="51"/>
        <v>90</v>
      </c>
      <c r="H91" s="104">
        <f t="shared" si="52"/>
        <v>24</v>
      </c>
      <c r="I91" s="104">
        <f t="shared" si="53"/>
        <v>10</v>
      </c>
      <c r="J91" s="104">
        <f t="shared" si="54"/>
        <v>11</v>
      </c>
      <c r="K91" s="104">
        <f t="shared" si="55"/>
        <v>33.199999999999996</v>
      </c>
      <c r="L91" s="104">
        <f t="shared" si="56"/>
        <v>19</v>
      </c>
      <c r="M91" s="104"/>
      <c r="N91" s="104"/>
      <c r="O91" s="104"/>
      <c r="P91" s="100">
        <v>252</v>
      </c>
      <c r="Q91" s="104">
        <f t="shared" si="57"/>
        <v>100.8</v>
      </c>
      <c r="R91" s="104">
        <f t="shared" si="58"/>
        <v>151.19999999999999</v>
      </c>
    </row>
    <row r="92" spans="1:18">
      <c r="A92" s="11">
        <v>3</v>
      </c>
      <c r="B92" s="11" t="s">
        <v>110</v>
      </c>
      <c r="C92" s="11">
        <v>5</v>
      </c>
      <c r="D92" s="11">
        <v>8</v>
      </c>
      <c r="E92" s="104">
        <f t="shared" si="49"/>
        <v>154.4</v>
      </c>
      <c r="F92" s="104">
        <f t="shared" si="50"/>
        <v>32</v>
      </c>
      <c r="G92" s="104">
        <f t="shared" si="51"/>
        <v>180</v>
      </c>
      <c r="H92" s="104">
        <f t="shared" si="52"/>
        <v>48</v>
      </c>
      <c r="I92" s="104">
        <f t="shared" si="53"/>
        <v>20</v>
      </c>
      <c r="J92" s="104">
        <f t="shared" si="54"/>
        <v>22</v>
      </c>
      <c r="K92" s="104">
        <f t="shared" si="55"/>
        <v>66.399999999999991</v>
      </c>
      <c r="L92" s="104">
        <f t="shared" si="56"/>
        <v>38</v>
      </c>
      <c r="M92" s="104"/>
      <c r="N92" s="104"/>
      <c r="O92" s="104"/>
      <c r="P92" s="100">
        <v>499.2</v>
      </c>
      <c r="Q92" s="104">
        <f t="shared" si="57"/>
        <v>199.68</v>
      </c>
      <c r="R92" s="104">
        <f t="shared" si="58"/>
        <v>299.52</v>
      </c>
    </row>
    <row r="93" spans="1:18">
      <c r="A93" s="11">
        <v>4</v>
      </c>
      <c r="B93" s="11" t="s">
        <v>111</v>
      </c>
      <c r="C93" s="11">
        <v>5</v>
      </c>
      <c r="D93" s="11">
        <v>8</v>
      </c>
      <c r="E93" s="104">
        <f t="shared" si="49"/>
        <v>154.4</v>
      </c>
      <c r="F93" s="104">
        <f t="shared" si="50"/>
        <v>32</v>
      </c>
      <c r="G93" s="104">
        <f t="shared" si="51"/>
        <v>180</v>
      </c>
      <c r="H93" s="104">
        <f t="shared" si="52"/>
        <v>48</v>
      </c>
      <c r="I93" s="104">
        <f t="shared" si="53"/>
        <v>20</v>
      </c>
      <c r="J93" s="104">
        <f t="shared" si="54"/>
        <v>22</v>
      </c>
      <c r="K93" s="104">
        <f t="shared" si="55"/>
        <v>66.399999999999991</v>
      </c>
      <c r="L93" s="104">
        <f t="shared" si="56"/>
        <v>38</v>
      </c>
      <c r="M93" s="104"/>
      <c r="N93" s="104"/>
      <c r="O93" s="104"/>
      <c r="P93" s="100">
        <v>539.6</v>
      </c>
      <c r="Q93" s="104">
        <f t="shared" si="57"/>
        <v>215.84</v>
      </c>
      <c r="R93" s="104">
        <f t="shared" si="58"/>
        <v>323.76</v>
      </c>
    </row>
    <row r="94" spans="1:18">
      <c r="A94" s="105">
        <v>5</v>
      </c>
      <c r="B94" s="105" t="s">
        <v>112</v>
      </c>
      <c r="C94" s="105">
        <v>5</v>
      </c>
      <c r="D94" s="105">
        <v>3</v>
      </c>
      <c r="E94" s="104">
        <f t="shared" si="49"/>
        <v>57.900000000000006</v>
      </c>
      <c r="F94" s="104">
        <f t="shared" si="50"/>
        <v>12</v>
      </c>
      <c r="G94" s="104">
        <f t="shared" si="51"/>
        <v>67.5</v>
      </c>
      <c r="H94" s="104">
        <f t="shared" si="52"/>
        <v>18</v>
      </c>
      <c r="I94" s="104">
        <f t="shared" si="53"/>
        <v>7.5</v>
      </c>
      <c r="J94" s="104">
        <f t="shared" si="54"/>
        <v>8.25</v>
      </c>
      <c r="K94" s="104">
        <f t="shared" si="55"/>
        <v>24.9</v>
      </c>
      <c r="L94" s="104">
        <f t="shared" si="56"/>
        <v>14.25</v>
      </c>
      <c r="M94" s="104"/>
      <c r="N94" s="104"/>
      <c r="O94" s="104"/>
      <c r="P94" s="100">
        <v>301.10000000000002</v>
      </c>
      <c r="Q94" s="104">
        <f t="shared" si="57"/>
        <v>120.44000000000001</v>
      </c>
      <c r="R94" s="104">
        <f t="shared" si="58"/>
        <v>180.66000000000003</v>
      </c>
    </row>
    <row r="95" spans="1:18">
      <c r="A95" s="105">
        <v>6</v>
      </c>
      <c r="B95" s="105" t="s">
        <v>113</v>
      </c>
      <c r="C95" s="105">
        <v>5</v>
      </c>
      <c r="D95" s="105">
        <v>2</v>
      </c>
      <c r="E95" s="104">
        <f t="shared" si="49"/>
        <v>38.6</v>
      </c>
      <c r="F95" s="104">
        <f t="shared" si="50"/>
        <v>8</v>
      </c>
      <c r="G95" s="104">
        <f t="shared" si="51"/>
        <v>45</v>
      </c>
      <c r="H95" s="104">
        <f t="shared" si="52"/>
        <v>12</v>
      </c>
      <c r="I95" s="104">
        <f t="shared" si="53"/>
        <v>5</v>
      </c>
      <c r="J95" s="104">
        <f t="shared" si="54"/>
        <v>5.5</v>
      </c>
      <c r="K95" s="104">
        <f t="shared" si="55"/>
        <v>16.599999999999998</v>
      </c>
      <c r="L95" s="104">
        <f t="shared" si="56"/>
        <v>9.5</v>
      </c>
      <c r="M95" s="104"/>
      <c r="N95" s="104"/>
      <c r="O95" s="104"/>
      <c r="P95" s="100">
        <v>124.7</v>
      </c>
      <c r="Q95" s="104">
        <f t="shared" si="57"/>
        <v>49.88</v>
      </c>
      <c r="R95" s="104">
        <f t="shared" si="58"/>
        <v>74.819999999999993</v>
      </c>
    </row>
    <row r="96" spans="1:18">
      <c r="A96" s="105">
        <v>7</v>
      </c>
      <c r="B96" s="105" t="s">
        <v>114</v>
      </c>
      <c r="C96" s="105">
        <v>5</v>
      </c>
      <c r="D96" s="105">
        <v>2</v>
      </c>
      <c r="E96" s="104">
        <f t="shared" si="49"/>
        <v>38.6</v>
      </c>
      <c r="F96" s="104">
        <f t="shared" si="50"/>
        <v>8</v>
      </c>
      <c r="G96" s="104">
        <f t="shared" si="51"/>
        <v>45</v>
      </c>
      <c r="H96" s="104">
        <f t="shared" si="52"/>
        <v>12</v>
      </c>
      <c r="I96" s="104">
        <f t="shared" si="53"/>
        <v>5</v>
      </c>
      <c r="J96" s="104">
        <f t="shared" si="54"/>
        <v>5.5</v>
      </c>
      <c r="K96" s="104">
        <f t="shared" si="55"/>
        <v>16.599999999999998</v>
      </c>
      <c r="L96" s="104">
        <f t="shared" si="56"/>
        <v>9.5</v>
      </c>
      <c r="M96" s="104"/>
      <c r="N96" s="104"/>
      <c r="O96" s="104"/>
      <c r="P96" s="100">
        <v>124.2</v>
      </c>
      <c r="Q96" s="104">
        <f t="shared" si="57"/>
        <v>49.68</v>
      </c>
      <c r="R96" s="104">
        <f t="shared" si="58"/>
        <v>74.52000000000001</v>
      </c>
    </row>
    <row r="97" spans="1:18">
      <c r="A97" s="105">
        <v>8</v>
      </c>
      <c r="B97" s="105" t="s">
        <v>115</v>
      </c>
      <c r="C97" s="105">
        <v>5</v>
      </c>
      <c r="D97" s="105">
        <v>2</v>
      </c>
      <c r="E97" s="104">
        <f t="shared" si="49"/>
        <v>38.6</v>
      </c>
      <c r="F97" s="104">
        <f t="shared" si="50"/>
        <v>8</v>
      </c>
      <c r="G97" s="104">
        <f t="shared" si="51"/>
        <v>45</v>
      </c>
      <c r="H97" s="104">
        <f t="shared" si="52"/>
        <v>12</v>
      </c>
      <c r="I97" s="104">
        <f t="shared" si="53"/>
        <v>5</v>
      </c>
      <c r="J97" s="104">
        <f t="shared" si="54"/>
        <v>5.5</v>
      </c>
      <c r="K97" s="104">
        <f t="shared" si="55"/>
        <v>16.599999999999998</v>
      </c>
      <c r="L97" s="104">
        <f t="shared" si="56"/>
        <v>9.5</v>
      </c>
      <c r="M97" s="104"/>
      <c r="N97" s="104"/>
      <c r="O97" s="104"/>
      <c r="P97" s="100">
        <v>124.6</v>
      </c>
      <c r="Q97" s="104">
        <f t="shared" si="57"/>
        <v>49.839999999999996</v>
      </c>
      <c r="R97" s="104">
        <f t="shared" si="58"/>
        <v>74.759999999999991</v>
      </c>
    </row>
    <row r="98" spans="1:18">
      <c r="A98" s="105">
        <v>9</v>
      </c>
      <c r="B98" s="105" t="s">
        <v>116</v>
      </c>
      <c r="C98" s="105">
        <v>5</v>
      </c>
      <c r="D98" s="105">
        <v>4</v>
      </c>
      <c r="E98" s="104">
        <f t="shared" si="49"/>
        <v>77.2</v>
      </c>
      <c r="F98" s="104">
        <f t="shared" si="50"/>
        <v>16</v>
      </c>
      <c r="G98" s="104">
        <f t="shared" si="51"/>
        <v>90</v>
      </c>
      <c r="H98" s="104">
        <f t="shared" si="52"/>
        <v>24</v>
      </c>
      <c r="I98" s="104">
        <f t="shared" si="53"/>
        <v>10</v>
      </c>
      <c r="J98" s="104">
        <f t="shared" si="54"/>
        <v>11</v>
      </c>
      <c r="K98" s="104">
        <f t="shared" si="55"/>
        <v>33.199999999999996</v>
      </c>
      <c r="L98" s="104">
        <f t="shared" si="56"/>
        <v>19</v>
      </c>
      <c r="M98" s="104"/>
      <c r="N98" s="104"/>
      <c r="O98" s="104"/>
      <c r="P98" s="100">
        <v>441.6</v>
      </c>
      <c r="Q98" s="104">
        <f t="shared" si="57"/>
        <v>176.64000000000001</v>
      </c>
      <c r="R98" s="104">
        <f t="shared" si="58"/>
        <v>264.96000000000004</v>
      </c>
    </row>
    <row r="99" spans="1:18">
      <c r="A99" s="105">
        <v>10</v>
      </c>
      <c r="B99" s="105" t="s">
        <v>117</v>
      </c>
      <c r="C99" s="105">
        <v>5</v>
      </c>
      <c r="D99" s="105">
        <v>4</v>
      </c>
      <c r="E99" s="104">
        <f t="shared" si="49"/>
        <v>77.2</v>
      </c>
      <c r="F99" s="104">
        <f t="shared" si="50"/>
        <v>16</v>
      </c>
      <c r="G99" s="104">
        <f t="shared" si="51"/>
        <v>90</v>
      </c>
      <c r="H99" s="104">
        <f t="shared" si="52"/>
        <v>24</v>
      </c>
      <c r="I99" s="104">
        <f t="shared" si="53"/>
        <v>10</v>
      </c>
      <c r="J99" s="104">
        <f t="shared" si="54"/>
        <v>11</v>
      </c>
      <c r="K99" s="104">
        <f t="shared" si="55"/>
        <v>33.199999999999996</v>
      </c>
      <c r="L99" s="104">
        <f t="shared" si="56"/>
        <v>19</v>
      </c>
      <c r="M99" s="104"/>
      <c r="N99" s="104"/>
      <c r="O99" s="104"/>
      <c r="P99" s="100">
        <v>184.9</v>
      </c>
      <c r="Q99" s="104">
        <f t="shared" si="57"/>
        <v>73.960000000000008</v>
      </c>
      <c r="R99" s="104">
        <f t="shared" si="58"/>
        <v>110.94</v>
      </c>
    </row>
    <row r="100" spans="1:18">
      <c r="A100" s="105">
        <v>11</v>
      </c>
      <c r="B100" s="105" t="s">
        <v>118</v>
      </c>
      <c r="C100" s="105">
        <v>4</v>
      </c>
      <c r="D100" s="105">
        <v>3</v>
      </c>
      <c r="E100" s="104">
        <f t="shared" si="49"/>
        <v>46.32</v>
      </c>
      <c r="F100" s="104">
        <f t="shared" si="50"/>
        <v>12</v>
      </c>
      <c r="G100" s="104">
        <f t="shared" si="51"/>
        <v>54</v>
      </c>
      <c r="H100" s="104">
        <f t="shared" si="52"/>
        <v>15</v>
      </c>
      <c r="I100" s="104">
        <f t="shared" si="53"/>
        <v>6</v>
      </c>
      <c r="J100" s="104">
        <f t="shared" si="54"/>
        <v>6.6000000000000005</v>
      </c>
      <c r="K100" s="104">
        <f t="shared" si="55"/>
        <v>19.919999999999998</v>
      </c>
      <c r="L100" s="104">
        <f t="shared" si="56"/>
        <v>11.399999999999999</v>
      </c>
      <c r="M100" s="104"/>
      <c r="N100" s="104"/>
      <c r="O100" s="104"/>
      <c r="P100" s="100">
        <v>172.4</v>
      </c>
      <c r="Q100" s="104">
        <f t="shared" si="57"/>
        <v>86.2</v>
      </c>
      <c r="R100" s="104">
        <f t="shared" si="58"/>
        <v>86.2</v>
      </c>
    </row>
    <row r="101" spans="1:18">
      <c r="A101" s="105">
        <v>12</v>
      </c>
      <c r="B101" s="105" t="s">
        <v>119</v>
      </c>
      <c r="C101" s="105">
        <v>5</v>
      </c>
      <c r="D101" s="105">
        <v>3</v>
      </c>
      <c r="E101" s="104">
        <f t="shared" si="49"/>
        <v>57.900000000000006</v>
      </c>
      <c r="F101" s="104">
        <f t="shared" si="50"/>
        <v>12</v>
      </c>
      <c r="G101" s="104">
        <f t="shared" si="51"/>
        <v>67.5</v>
      </c>
      <c r="H101" s="104">
        <f t="shared" si="52"/>
        <v>18</v>
      </c>
      <c r="I101" s="104">
        <f t="shared" si="53"/>
        <v>7.5</v>
      </c>
      <c r="J101" s="104">
        <f t="shared" si="54"/>
        <v>8.25</v>
      </c>
      <c r="K101" s="104">
        <f t="shared" si="55"/>
        <v>24.9</v>
      </c>
      <c r="L101" s="104">
        <f t="shared" si="56"/>
        <v>14.25</v>
      </c>
      <c r="M101" s="104"/>
      <c r="N101" s="104"/>
      <c r="O101" s="104"/>
      <c r="P101" s="100">
        <v>401.7</v>
      </c>
      <c r="Q101" s="104">
        <f t="shared" si="57"/>
        <v>160.68</v>
      </c>
      <c r="R101" s="104">
        <f t="shared" si="58"/>
        <v>241.01999999999998</v>
      </c>
    </row>
    <row r="102" spans="1:18">
      <c r="A102" s="105">
        <v>13</v>
      </c>
      <c r="B102" s="105" t="s">
        <v>120</v>
      </c>
      <c r="C102" s="105">
        <v>2</v>
      </c>
      <c r="D102" s="105">
        <v>2</v>
      </c>
      <c r="E102" s="104">
        <f t="shared" si="49"/>
        <v>15.44</v>
      </c>
      <c r="F102" s="104">
        <f t="shared" si="50"/>
        <v>8</v>
      </c>
      <c r="G102" s="104">
        <f t="shared" si="51"/>
        <v>18</v>
      </c>
      <c r="H102" s="104">
        <f t="shared" si="52"/>
        <v>6</v>
      </c>
      <c r="I102" s="104">
        <f t="shared" si="53"/>
        <v>2</v>
      </c>
      <c r="J102" s="104">
        <f t="shared" si="54"/>
        <v>2.2000000000000002</v>
      </c>
      <c r="K102" s="104">
        <f t="shared" si="55"/>
        <v>6.64</v>
      </c>
      <c r="L102" s="104">
        <f t="shared" si="56"/>
        <v>3.8</v>
      </c>
      <c r="M102" s="104"/>
      <c r="N102" s="104"/>
      <c r="O102" s="104"/>
      <c r="P102" s="100">
        <v>75.099999999999994</v>
      </c>
      <c r="Q102" s="104">
        <f t="shared" si="57"/>
        <v>75.099999999999994</v>
      </c>
      <c r="R102" s="104">
        <f t="shared" si="58"/>
        <v>0</v>
      </c>
    </row>
    <row r="103" spans="1:18">
      <c r="A103" s="105">
        <v>14</v>
      </c>
      <c r="B103" s="105" t="s">
        <v>121</v>
      </c>
      <c r="C103" s="105">
        <v>5</v>
      </c>
      <c r="D103" s="105">
        <v>3</v>
      </c>
      <c r="E103" s="104">
        <f t="shared" si="49"/>
        <v>57.900000000000006</v>
      </c>
      <c r="F103" s="104">
        <f t="shared" si="50"/>
        <v>12</v>
      </c>
      <c r="G103" s="104">
        <f t="shared" si="51"/>
        <v>67.5</v>
      </c>
      <c r="H103" s="104">
        <f t="shared" si="52"/>
        <v>18</v>
      </c>
      <c r="I103" s="104">
        <f t="shared" si="53"/>
        <v>7.5</v>
      </c>
      <c r="J103" s="104">
        <f t="shared" si="54"/>
        <v>8.25</v>
      </c>
      <c r="K103" s="104">
        <f t="shared" si="55"/>
        <v>24.9</v>
      </c>
      <c r="L103" s="104">
        <f t="shared" si="56"/>
        <v>14.25</v>
      </c>
      <c r="M103" s="104"/>
      <c r="N103" s="104"/>
      <c r="O103" s="104"/>
      <c r="P103" s="100">
        <v>323.89999999999998</v>
      </c>
      <c r="Q103" s="104">
        <f t="shared" si="57"/>
        <v>129.56</v>
      </c>
      <c r="R103" s="104">
        <f t="shared" si="58"/>
        <v>194.33999999999997</v>
      </c>
    </row>
    <row r="104" spans="1:18">
      <c r="A104" s="105">
        <v>15</v>
      </c>
      <c r="B104" s="105" t="s">
        <v>122</v>
      </c>
      <c r="C104" s="105">
        <v>5</v>
      </c>
      <c r="D104" s="105">
        <v>4</v>
      </c>
      <c r="E104" s="104">
        <f t="shared" si="49"/>
        <v>77.2</v>
      </c>
      <c r="F104" s="104">
        <f t="shared" si="50"/>
        <v>16</v>
      </c>
      <c r="G104" s="104">
        <f t="shared" si="51"/>
        <v>90</v>
      </c>
      <c r="H104" s="104">
        <f t="shared" si="52"/>
        <v>24</v>
      </c>
      <c r="I104" s="104">
        <f t="shared" si="53"/>
        <v>10</v>
      </c>
      <c r="J104" s="104">
        <f t="shared" si="54"/>
        <v>11</v>
      </c>
      <c r="K104" s="104">
        <f t="shared" si="55"/>
        <v>33.199999999999996</v>
      </c>
      <c r="L104" s="104">
        <f t="shared" si="56"/>
        <v>19</v>
      </c>
      <c r="M104" s="104"/>
      <c r="N104" s="104"/>
      <c r="O104" s="104"/>
      <c r="P104" s="100">
        <v>484.8</v>
      </c>
      <c r="Q104" s="104">
        <f t="shared" si="57"/>
        <v>193.92000000000002</v>
      </c>
      <c r="R104" s="104">
        <f t="shared" si="58"/>
        <v>290.88</v>
      </c>
    </row>
    <row r="105" spans="1:18">
      <c r="A105" s="105">
        <v>16</v>
      </c>
      <c r="B105" s="105" t="s">
        <v>125</v>
      </c>
      <c r="C105" s="105">
        <v>5</v>
      </c>
      <c r="D105" s="105">
        <v>2</v>
      </c>
      <c r="E105" s="104">
        <f t="shared" si="49"/>
        <v>38.6</v>
      </c>
      <c r="F105" s="104">
        <f t="shared" si="50"/>
        <v>8</v>
      </c>
      <c r="G105" s="104">
        <f t="shared" si="51"/>
        <v>45</v>
      </c>
      <c r="H105" s="104">
        <f t="shared" si="52"/>
        <v>12</v>
      </c>
      <c r="I105" s="104">
        <f t="shared" si="53"/>
        <v>5</v>
      </c>
      <c r="J105" s="104">
        <f t="shared" si="54"/>
        <v>5.5</v>
      </c>
      <c r="K105" s="104">
        <f t="shared" si="55"/>
        <v>16.599999999999998</v>
      </c>
      <c r="L105" s="104">
        <f t="shared" si="56"/>
        <v>9.5</v>
      </c>
      <c r="M105" s="104"/>
      <c r="N105" s="104"/>
      <c r="O105" s="104"/>
      <c r="P105" s="100">
        <v>163.19999999999999</v>
      </c>
      <c r="Q105" s="104">
        <f t="shared" si="57"/>
        <v>65.28</v>
      </c>
      <c r="R105" s="104">
        <f t="shared" si="58"/>
        <v>97.919999999999987</v>
      </c>
    </row>
    <row r="106" spans="1:18">
      <c r="A106" s="11">
        <v>17</v>
      </c>
      <c r="B106" s="11" t="s">
        <v>128</v>
      </c>
      <c r="C106" s="11">
        <v>5</v>
      </c>
      <c r="D106" s="11">
        <v>4</v>
      </c>
      <c r="E106" s="104">
        <f t="shared" si="49"/>
        <v>77.2</v>
      </c>
      <c r="F106" s="104">
        <f t="shared" si="50"/>
        <v>16</v>
      </c>
      <c r="G106" s="104">
        <f t="shared" si="51"/>
        <v>90</v>
      </c>
      <c r="H106" s="104">
        <f t="shared" si="52"/>
        <v>24</v>
      </c>
      <c r="I106" s="104">
        <f t="shared" si="53"/>
        <v>10</v>
      </c>
      <c r="J106" s="104">
        <f t="shared" si="54"/>
        <v>11</v>
      </c>
      <c r="K106" s="104">
        <f t="shared" si="55"/>
        <v>33.199999999999996</v>
      </c>
      <c r="L106" s="104">
        <f t="shared" si="56"/>
        <v>19</v>
      </c>
      <c r="M106" s="104"/>
      <c r="N106" s="104"/>
      <c r="O106" s="104"/>
      <c r="P106" s="100">
        <v>268.8</v>
      </c>
      <c r="Q106" s="104">
        <f t="shared" si="57"/>
        <v>107.52000000000001</v>
      </c>
      <c r="R106" s="104">
        <f t="shared" si="58"/>
        <v>161.28</v>
      </c>
    </row>
    <row r="107" spans="1:18">
      <c r="A107" s="11">
        <v>18</v>
      </c>
      <c r="B107" s="11" t="s">
        <v>129</v>
      </c>
      <c r="C107" s="11">
        <v>4</v>
      </c>
      <c r="D107" s="11">
        <v>2</v>
      </c>
      <c r="E107" s="104">
        <f t="shared" si="49"/>
        <v>30.88</v>
      </c>
      <c r="F107" s="104">
        <f t="shared" si="50"/>
        <v>8</v>
      </c>
      <c r="G107" s="104">
        <f t="shared" si="51"/>
        <v>36</v>
      </c>
      <c r="H107" s="104">
        <f t="shared" si="52"/>
        <v>10</v>
      </c>
      <c r="I107" s="104">
        <f t="shared" si="53"/>
        <v>4</v>
      </c>
      <c r="J107" s="104">
        <f t="shared" si="54"/>
        <v>4.4000000000000004</v>
      </c>
      <c r="K107" s="104">
        <f t="shared" si="55"/>
        <v>13.28</v>
      </c>
      <c r="L107" s="104">
        <f t="shared" si="56"/>
        <v>7.6</v>
      </c>
      <c r="M107" s="104"/>
      <c r="N107" s="104"/>
      <c r="O107" s="104"/>
      <c r="P107" s="100">
        <v>114.4</v>
      </c>
      <c r="Q107" s="104">
        <f t="shared" si="57"/>
        <v>57.2</v>
      </c>
      <c r="R107" s="104">
        <f t="shared" si="58"/>
        <v>57.2</v>
      </c>
    </row>
    <row r="108" spans="1:18">
      <c r="A108" s="11">
        <v>19</v>
      </c>
      <c r="B108" s="11" t="s">
        <v>131</v>
      </c>
      <c r="C108" s="11">
        <v>4</v>
      </c>
      <c r="D108" s="11">
        <v>2</v>
      </c>
      <c r="E108" s="104">
        <f t="shared" si="49"/>
        <v>30.88</v>
      </c>
      <c r="F108" s="104">
        <f t="shared" si="50"/>
        <v>8</v>
      </c>
      <c r="G108" s="104">
        <f t="shared" si="51"/>
        <v>36</v>
      </c>
      <c r="H108" s="104">
        <f t="shared" si="52"/>
        <v>10</v>
      </c>
      <c r="I108" s="104">
        <f t="shared" si="53"/>
        <v>4</v>
      </c>
      <c r="J108" s="104">
        <f t="shared" si="54"/>
        <v>4.4000000000000004</v>
      </c>
      <c r="K108" s="104">
        <f t="shared" si="55"/>
        <v>13.28</v>
      </c>
      <c r="L108" s="104">
        <f t="shared" si="56"/>
        <v>7.6</v>
      </c>
      <c r="M108" s="104"/>
      <c r="N108" s="104"/>
      <c r="O108" s="104"/>
      <c r="P108" s="100">
        <v>113.9</v>
      </c>
      <c r="Q108" s="104">
        <f t="shared" si="57"/>
        <v>56.95</v>
      </c>
      <c r="R108" s="104">
        <f t="shared" si="58"/>
        <v>56.95</v>
      </c>
    </row>
    <row r="109" spans="1:18">
      <c r="A109" s="11">
        <v>20</v>
      </c>
      <c r="B109" s="11" t="s">
        <v>133</v>
      </c>
      <c r="C109" s="11">
        <v>5</v>
      </c>
      <c r="D109" s="11">
        <v>2</v>
      </c>
      <c r="E109" s="104">
        <f t="shared" si="49"/>
        <v>38.6</v>
      </c>
      <c r="F109" s="104">
        <f t="shared" si="50"/>
        <v>8</v>
      </c>
      <c r="G109" s="104">
        <f t="shared" si="51"/>
        <v>45</v>
      </c>
      <c r="H109" s="104">
        <f t="shared" si="52"/>
        <v>12</v>
      </c>
      <c r="I109" s="104">
        <f t="shared" si="53"/>
        <v>5</v>
      </c>
      <c r="J109" s="104">
        <f t="shared" si="54"/>
        <v>5.5</v>
      </c>
      <c r="K109" s="104">
        <f t="shared" si="55"/>
        <v>16.599999999999998</v>
      </c>
      <c r="L109" s="104">
        <f t="shared" si="56"/>
        <v>9.5</v>
      </c>
      <c r="M109" s="104"/>
      <c r="N109" s="104"/>
      <c r="O109" s="104"/>
      <c r="P109" s="100">
        <v>101.5</v>
      </c>
      <c r="Q109" s="104">
        <f t="shared" si="57"/>
        <v>40.6</v>
      </c>
      <c r="R109" s="104">
        <f t="shared" si="58"/>
        <v>60.9</v>
      </c>
    </row>
    <row r="110" spans="1:18">
      <c r="A110" s="11">
        <v>21</v>
      </c>
      <c r="B110" s="11" t="s">
        <v>135</v>
      </c>
      <c r="C110" s="11">
        <v>4</v>
      </c>
      <c r="D110" s="11">
        <v>2</v>
      </c>
      <c r="E110" s="104">
        <f t="shared" si="49"/>
        <v>30.88</v>
      </c>
      <c r="F110" s="104">
        <f t="shared" si="50"/>
        <v>8</v>
      </c>
      <c r="G110" s="104">
        <f t="shared" si="51"/>
        <v>36</v>
      </c>
      <c r="H110" s="104">
        <f t="shared" si="52"/>
        <v>10</v>
      </c>
      <c r="I110" s="104">
        <f t="shared" si="53"/>
        <v>4</v>
      </c>
      <c r="J110" s="104">
        <f t="shared" si="54"/>
        <v>4.4000000000000004</v>
      </c>
      <c r="K110" s="104">
        <f t="shared" si="55"/>
        <v>13.28</v>
      </c>
      <c r="L110" s="104">
        <f t="shared" si="56"/>
        <v>7.6</v>
      </c>
      <c r="M110" s="104"/>
      <c r="N110" s="104"/>
      <c r="O110" s="104"/>
      <c r="P110" s="100">
        <v>98.7</v>
      </c>
      <c r="Q110" s="104">
        <f t="shared" si="57"/>
        <v>49.35</v>
      </c>
      <c r="R110" s="104">
        <f t="shared" si="58"/>
        <v>49.35</v>
      </c>
    </row>
    <row r="111" spans="1:18">
      <c r="A111" s="11">
        <v>22</v>
      </c>
      <c r="B111" s="11" t="s">
        <v>142</v>
      </c>
      <c r="C111" s="11">
        <v>5</v>
      </c>
      <c r="D111" s="11">
        <v>3</v>
      </c>
      <c r="E111" s="104">
        <f t="shared" si="49"/>
        <v>57.900000000000006</v>
      </c>
      <c r="F111" s="104">
        <f t="shared" si="50"/>
        <v>12</v>
      </c>
      <c r="G111" s="104">
        <f t="shared" si="51"/>
        <v>67.5</v>
      </c>
      <c r="H111" s="104">
        <f t="shared" si="52"/>
        <v>18</v>
      </c>
      <c r="I111" s="104">
        <f t="shared" si="53"/>
        <v>7.5</v>
      </c>
      <c r="J111" s="104">
        <f t="shared" si="54"/>
        <v>8.25</v>
      </c>
      <c r="K111" s="104">
        <f t="shared" si="55"/>
        <v>24.9</v>
      </c>
      <c r="L111" s="104">
        <f t="shared" si="56"/>
        <v>14.25</v>
      </c>
      <c r="M111" s="104"/>
      <c r="N111" s="104"/>
      <c r="O111" s="104"/>
      <c r="P111" s="100">
        <v>187.5</v>
      </c>
      <c r="Q111" s="104">
        <f t="shared" si="57"/>
        <v>75</v>
      </c>
      <c r="R111" s="104">
        <f t="shared" si="58"/>
        <v>112.5</v>
      </c>
    </row>
    <row r="112" spans="1:18">
      <c r="A112" s="11">
        <v>23</v>
      </c>
      <c r="B112" s="11" t="s">
        <v>144</v>
      </c>
      <c r="C112" s="11">
        <v>5</v>
      </c>
      <c r="D112" s="11">
        <v>4</v>
      </c>
      <c r="E112" s="104">
        <f t="shared" si="49"/>
        <v>77.2</v>
      </c>
      <c r="F112" s="104">
        <f t="shared" si="50"/>
        <v>16</v>
      </c>
      <c r="G112" s="104">
        <f t="shared" si="51"/>
        <v>90</v>
      </c>
      <c r="H112" s="104">
        <f t="shared" si="52"/>
        <v>24</v>
      </c>
      <c r="I112" s="104">
        <f t="shared" si="53"/>
        <v>10</v>
      </c>
      <c r="J112" s="104">
        <f t="shared" si="54"/>
        <v>11</v>
      </c>
      <c r="K112" s="104">
        <f t="shared" si="55"/>
        <v>33.199999999999996</v>
      </c>
      <c r="L112" s="104">
        <f t="shared" si="56"/>
        <v>19</v>
      </c>
      <c r="M112" s="104"/>
      <c r="N112" s="104"/>
      <c r="O112" s="104"/>
      <c r="P112" s="100">
        <v>246.7</v>
      </c>
      <c r="Q112" s="104">
        <f t="shared" si="57"/>
        <v>98.679999999999993</v>
      </c>
      <c r="R112" s="104">
        <f t="shared" si="58"/>
        <v>148.01999999999998</v>
      </c>
    </row>
    <row r="113" spans="1:18">
      <c r="A113" s="105">
        <v>24</v>
      </c>
      <c r="B113" s="105" t="s">
        <v>123</v>
      </c>
      <c r="C113" s="106">
        <v>2</v>
      </c>
      <c r="D113" s="107">
        <v>1</v>
      </c>
      <c r="E113" s="100">
        <f t="shared" si="49"/>
        <v>7.72</v>
      </c>
      <c r="F113" s="100">
        <f t="shared" si="50"/>
        <v>4</v>
      </c>
      <c r="G113" s="100">
        <f t="shared" si="51"/>
        <v>9</v>
      </c>
      <c r="H113" s="100">
        <f t="shared" si="52"/>
        <v>3</v>
      </c>
      <c r="I113" s="100">
        <f t="shared" si="53"/>
        <v>1</v>
      </c>
      <c r="J113" s="100">
        <f t="shared" si="54"/>
        <v>1.1000000000000001</v>
      </c>
      <c r="K113" s="100">
        <f t="shared" si="55"/>
        <v>3.32</v>
      </c>
      <c r="L113" s="100">
        <f t="shared" si="56"/>
        <v>1.9</v>
      </c>
      <c r="M113" s="102"/>
      <c r="N113" s="102"/>
      <c r="O113" s="108"/>
      <c r="P113" s="102">
        <v>41.4</v>
      </c>
      <c r="Q113" s="104">
        <f t="shared" si="57"/>
        <v>41.4</v>
      </c>
      <c r="R113" s="104">
        <f t="shared" si="58"/>
        <v>0</v>
      </c>
    </row>
    <row r="114" spans="1:18">
      <c r="A114" s="105">
        <v>25</v>
      </c>
      <c r="B114" s="105" t="s">
        <v>124</v>
      </c>
      <c r="C114" s="106">
        <v>3</v>
      </c>
      <c r="D114" s="107">
        <v>2</v>
      </c>
      <c r="E114" s="100">
        <f t="shared" si="49"/>
        <v>23.16</v>
      </c>
      <c r="F114" s="100">
        <f t="shared" si="50"/>
        <v>8</v>
      </c>
      <c r="G114" s="100">
        <f t="shared" si="51"/>
        <v>27</v>
      </c>
      <c r="H114" s="100">
        <f t="shared" si="52"/>
        <v>8</v>
      </c>
      <c r="I114" s="100">
        <f t="shared" si="53"/>
        <v>3</v>
      </c>
      <c r="J114" s="100">
        <f t="shared" si="54"/>
        <v>3.3000000000000003</v>
      </c>
      <c r="K114" s="100">
        <f t="shared" si="55"/>
        <v>9.9599999999999991</v>
      </c>
      <c r="L114" s="100">
        <f t="shared" si="56"/>
        <v>5.6999999999999993</v>
      </c>
      <c r="M114" s="102"/>
      <c r="N114" s="102"/>
      <c r="O114" s="108"/>
      <c r="P114" s="102">
        <v>81.599999999999994</v>
      </c>
      <c r="Q114" s="104">
        <f t="shared" si="57"/>
        <v>54.4</v>
      </c>
      <c r="R114" s="104">
        <f t="shared" si="58"/>
        <v>27.199999999999996</v>
      </c>
    </row>
    <row r="115" spans="1:18">
      <c r="A115" s="11">
        <v>26</v>
      </c>
      <c r="B115" s="11" t="s">
        <v>126</v>
      </c>
      <c r="C115" s="109">
        <v>3</v>
      </c>
      <c r="D115" s="109">
        <v>3</v>
      </c>
      <c r="E115" s="100">
        <f t="shared" si="49"/>
        <v>34.74</v>
      </c>
      <c r="F115" s="100">
        <f t="shared" si="50"/>
        <v>12</v>
      </c>
      <c r="G115" s="100">
        <f t="shared" si="51"/>
        <v>40.5</v>
      </c>
      <c r="H115" s="100">
        <f t="shared" si="52"/>
        <v>12</v>
      </c>
      <c r="I115" s="100">
        <f t="shared" si="53"/>
        <v>4.5</v>
      </c>
      <c r="J115" s="100">
        <f t="shared" si="54"/>
        <v>4.95</v>
      </c>
      <c r="K115" s="100">
        <f t="shared" si="55"/>
        <v>14.939999999999998</v>
      </c>
      <c r="L115" s="100">
        <f t="shared" si="56"/>
        <v>8.5499999999999989</v>
      </c>
      <c r="M115" s="110"/>
      <c r="N115" s="102"/>
      <c r="O115" s="103"/>
      <c r="P115" s="102">
        <v>88.3</v>
      </c>
      <c r="Q115" s="104">
        <f t="shared" si="57"/>
        <v>58.866666666666667</v>
      </c>
      <c r="R115" s="104">
        <f t="shared" si="58"/>
        <v>29.43333333333333</v>
      </c>
    </row>
    <row r="116" spans="1:18">
      <c r="A116" s="11">
        <v>27</v>
      </c>
      <c r="B116" s="11" t="s">
        <v>127</v>
      </c>
      <c r="C116" s="109">
        <v>3</v>
      </c>
      <c r="D116" s="109">
        <v>3</v>
      </c>
      <c r="E116" s="100">
        <f t="shared" si="49"/>
        <v>34.74</v>
      </c>
      <c r="F116" s="100">
        <f t="shared" si="50"/>
        <v>12</v>
      </c>
      <c r="G116" s="100">
        <f t="shared" si="51"/>
        <v>40.5</v>
      </c>
      <c r="H116" s="100">
        <f t="shared" si="52"/>
        <v>12</v>
      </c>
      <c r="I116" s="100">
        <f t="shared" si="53"/>
        <v>4.5</v>
      </c>
      <c r="J116" s="100">
        <f t="shared" si="54"/>
        <v>4.95</v>
      </c>
      <c r="K116" s="100">
        <f t="shared" si="55"/>
        <v>14.939999999999998</v>
      </c>
      <c r="L116" s="100">
        <f t="shared" si="56"/>
        <v>8.5499999999999989</v>
      </c>
      <c r="M116" s="110"/>
      <c r="N116" s="102"/>
      <c r="O116" s="103"/>
      <c r="P116" s="102">
        <v>150.5</v>
      </c>
      <c r="Q116" s="104">
        <f t="shared" si="57"/>
        <v>100.33333333333333</v>
      </c>
      <c r="R116" s="104">
        <f t="shared" si="58"/>
        <v>50.166666666666671</v>
      </c>
    </row>
    <row r="117" spans="1:18">
      <c r="A117" s="11">
        <v>28</v>
      </c>
      <c r="B117" s="11" t="s">
        <v>130</v>
      </c>
      <c r="C117" s="109">
        <v>2</v>
      </c>
      <c r="D117" s="109">
        <v>1</v>
      </c>
      <c r="E117" s="100">
        <f t="shared" si="49"/>
        <v>7.72</v>
      </c>
      <c r="F117" s="100">
        <f t="shared" si="50"/>
        <v>4</v>
      </c>
      <c r="G117" s="100">
        <f t="shared" si="51"/>
        <v>9</v>
      </c>
      <c r="H117" s="100">
        <f t="shared" si="52"/>
        <v>3</v>
      </c>
      <c r="I117" s="100">
        <f t="shared" si="53"/>
        <v>1</v>
      </c>
      <c r="J117" s="100">
        <f t="shared" si="54"/>
        <v>1.1000000000000001</v>
      </c>
      <c r="K117" s="100">
        <f t="shared" si="55"/>
        <v>3.32</v>
      </c>
      <c r="L117" s="100">
        <f t="shared" si="56"/>
        <v>1.9</v>
      </c>
      <c r="M117" s="110"/>
      <c r="N117" s="102"/>
      <c r="O117" s="103"/>
      <c r="P117" s="102">
        <v>40.200000000000003</v>
      </c>
      <c r="Q117" s="104">
        <f t="shared" si="57"/>
        <v>40.200000000000003</v>
      </c>
      <c r="R117" s="104">
        <f t="shared" si="58"/>
        <v>0</v>
      </c>
    </row>
    <row r="118" spans="1:18">
      <c r="A118" s="11">
        <v>29</v>
      </c>
      <c r="B118" s="11" t="s">
        <v>132</v>
      </c>
      <c r="C118" s="109">
        <v>2</v>
      </c>
      <c r="D118" s="109">
        <v>1</v>
      </c>
      <c r="E118" s="100">
        <f t="shared" si="49"/>
        <v>7.72</v>
      </c>
      <c r="F118" s="100">
        <f t="shared" si="50"/>
        <v>4</v>
      </c>
      <c r="G118" s="100">
        <f t="shared" si="51"/>
        <v>9</v>
      </c>
      <c r="H118" s="100">
        <f t="shared" si="52"/>
        <v>3</v>
      </c>
      <c r="I118" s="100">
        <f t="shared" si="53"/>
        <v>1</v>
      </c>
      <c r="J118" s="100">
        <f t="shared" si="54"/>
        <v>1.1000000000000001</v>
      </c>
      <c r="K118" s="100">
        <f t="shared" si="55"/>
        <v>3.32</v>
      </c>
      <c r="L118" s="100">
        <f t="shared" si="56"/>
        <v>1.9</v>
      </c>
      <c r="M118" s="110"/>
      <c r="N118" s="102"/>
      <c r="O118" s="103"/>
      <c r="P118" s="102">
        <v>21.5</v>
      </c>
      <c r="Q118" s="104">
        <f t="shared" si="57"/>
        <v>21.5</v>
      </c>
      <c r="R118" s="104">
        <f t="shared" si="58"/>
        <v>0</v>
      </c>
    </row>
    <row r="119" spans="1:18">
      <c r="A119" s="11">
        <v>30</v>
      </c>
      <c r="B119" s="11" t="s">
        <v>134</v>
      </c>
      <c r="C119" s="109">
        <v>2</v>
      </c>
      <c r="D119" s="109">
        <v>1</v>
      </c>
      <c r="E119" s="100">
        <f t="shared" si="49"/>
        <v>7.72</v>
      </c>
      <c r="F119" s="100">
        <f t="shared" si="50"/>
        <v>4</v>
      </c>
      <c r="G119" s="100">
        <f t="shared" si="51"/>
        <v>9</v>
      </c>
      <c r="H119" s="100">
        <f t="shared" si="52"/>
        <v>3</v>
      </c>
      <c r="I119" s="100">
        <f t="shared" si="53"/>
        <v>1</v>
      </c>
      <c r="J119" s="100">
        <f t="shared" si="54"/>
        <v>1.1000000000000001</v>
      </c>
      <c r="K119" s="100">
        <f t="shared" si="55"/>
        <v>3.32</v>
      </c>
      <c r="L119" s="100">
        <f t="shared" si="56"/>
        <v>1.9</v>
      </c>
      <c r="M119" s="110"/>
      <c r="N119" s="102"/>
      <c r="O119" s="103"/>
      <c r="P119" s="102">
        <v>39.700000000000003</v>
      </c>
      <c r="Q119" s="104">
        <f t="shared" si="57"/>
        <v>39.700000000000003</v>
      </c>
      <c r="R119" s="104">
        <f t="shared" si="58"/>
        <v>0</v>
      </c>
    </row>
    <row r="120" spans="1:18">
      <c r="A120" s="11">
        <v>31</v>
      </c>
      <c r="B120" s="11" t="s">
        <v>136</v>
      </c>
      <c r="C120" s="109">
        <v>2</v>
      </c>
      <c r="D120" s="109">
        <v>1</v>
      </c>
      <c r="E120" s="100">
        <f t="shared" si="49"/>
        <v>7.72</v>
      </c>
      <c r="F120" s="100">
        <f t="shared" si="50"/>
        <v>4</v>
      </c>
      <c r="G120" s="100">
        <f t="shared" si="51"/>
        <v>9</v>
      </c>
      <c r="H120" s="100">
        <f t="shared" si="52"/>
        <v>3</v>
      </c>
      <c r="I120" s="100">
        <f t="shared" si="53"/>
        <v>1</v>
      </c>
      <c r="J120" s="100">
        <f t="shared" si="54"/>
        <v>1.1000000000000001</v>
      </c>
      <c r="K120" s="100">
        <f t="shared" si="55"/>
        <v>3.32</v>
      </c>
      <c r="L120" s="100">
        <f t="shared" si="56"/>
        <v>1.9</v>
      </c>
      <c r="M120" s="110"/>
      <c r="N120" s="102"/>
      <c r="O120" s="103"/>
      <c r="P120" s="102">
        <v>40.1</v>
      </c>
      <c r="Q120" s="104">
        <f t="shared" si="57"/>
        <v>40.1</v>
      </c>
      <c r="R120" s="104">
        <f t="shared" si="58"/>
        <v>0</v>
      </c>
    </row>
    <row r="121" spans="1:18">
      <c r="A121" s="11">
        <v>32</v>
      </c>
      <c r="B121" s="11" t="s">
        <v>137</v>
      </c>
      <c r="C121" s="109">
        <v>2</v>
      </c>
      <c r="D121" s="109">
        <v>1</v>
      </c>
      <c r="E121" s="100">
        <f t="shared" si="49"/>
        <v>7.72</v>
      </c>
      <c r="F121" s="100">
        <f t="shared" si="50"/>
        <v>4</v>
      </c>
      <c r="G121" s="100">
        <f t="shared" si="51"/>
        <v>9</v>
      </c>
      <c r="H121" s="100">
        <f t="shared" si="52"/>
        <v>3</v>
      </c>
      <c r="I121" s="100">
        <f t="shared" si="53"/>
        <v>1</v>
      </c>
      <c r="J121" s="100">
        <f t="shared" si="54"/>
        <v>1.1000000000000001</v>
      </c>
      <c r="K121" s="100">
        <f t="shared" si="55"/>
        <v>3.32</v>
      </c>
      <c r="L121" s="100">
        <f t="shared" si="56"/>
        <v>1.9</v>
      </c>
      <c r="M121" s="110"/>
      <c r="N121" s="102"/>
      <c r="O121" s="103"/>
      <c r="P121" s="102">
        <v>96.2</v>
      </c>
      <c r="Q121" s="104">
        <f t="shared" si="57"/>
        <v>96.2</v>
      </c>
      <c r="R121" s="104">
        <f t="shared" si="58"/>
        <v>0</v>
      </c>
    </row>
    <row r="122" spans="1:18">
      <c r="A122" s="11">
        <v>33</v>
      </c>
      <c r="B122" s="11" t="s">
        <v>138</v>
      </c>
      <c r="C122" s="109">
        <v>2</v>
      </c>
      <c r="D122" s="109">
        <v>1</v>
      </c>
      <c r="E122" s="100">
        <f t="shared" ref="E122:E153" si="59">3.86*C122*D122</f>
        <v>7.72</v>
      </c>
      <c r="F122" s="100">
        <f t="shared" ref="F122:F153" si="60">4*D122</f>
        <v>4</v>
      </c>
      <c r="G122" s="100">
        <f t="shared" ref="G122:G153" si="61">4.5*C122*D122</f>
        <v>9</v>
      </c>
      <c r="H122" s="100">
        <f t="shared" ref="H122:H153" si="62">1*C122*D122+1*D122</f>
        <v>3</v>
      </c>
      <c r="I122" s="100">
        <f t="shared" ref="I122:I153" si="63">0.5*C122*D122</f>
        <v>1</v>
      </c>
      <c r="J122" s="100">
        <f t="shared" ref="J122:J153" si="64">0.55*C122*D122</f>
        <v>1.1000000000000001</v>
      </c>
      <c r="K122" s="100">
        <f t="shared" ref="K122:K153" si="65">1.66*C122*D122</f>
        <v>3.32</v>
      </c>
      <c r="L122" s="100">
        <f t="shared" ref="L122:L153" si="66">0.95*C122*D122</f>
        <v>1.9</v>
      </c>
      <c r="M122" s="110"/>
      <c r="N122" s="102"/>
      <c r="O122" s="103"/>
      <c r="P122" s="102">
        <v>70.7</v>
      </c>
      <c r="Q122" s="104">
        <f t="shared" ref="Q122:Q153" si="67">P122/C122*2</f>
        <v>70.7</v>
      </c>
      <c r="R122" s="104">
        <f t="shared" ref="R122:R153" si="68">P122-Q122</f>
        <v>0</v>
      </c>
    </row>
    <row r="123" spans="1:18">
      <c r="A123" s="11">
        <v>34</v>
      </c>
      <c r="B123" s="11" t="s">
        <v>139</v>
      </c>
      <c r="C123" s="109">
        <v>2</v>
      </c>
      <c r="D123" s="109">
        <v>1</v>
      </c>
      <c r="E123" s="100">
        <f t="shared" si="59"/>
        <v>7.72</v>
      </c>
      <c r="F123" s="100">
        <f t="shared" si="60"/>
        <v>4</v>
      </c>
      <c r="G123" s="100">
        <f t="shared" si="61"/>
        <v>9</v>
      </c>
      <c r="H123" s="100">
        <f t="shared" si="62"/>
        <v>3</v>
      </c>
      <c r="I123" s="100">
        <f t="shared" si="63"/>
        <v>1</v>
      </c>
      <c r="J123" s="100">
        <f t="shared" si="64"/>
        <v>1.1000000000000001</v>
      </c>
      <c r="K123" s="100">
        <f t="shared" si="65"/>
        <v>3.32</v>
      </c>
      <c r="L123" s="100">
        <f t="shared" si="66"/>
        <v>1.9</v>
      </c>
      <c r="M123" s="110"/>
      <c r="N123" s="102"/>
      <c r="O123" s="103"/>
      <c r="P123" s="102">
        <v>39.700000000000003</v>
      </c>
      <c r="Q123" s="104">
        <f t="shared" si="67"/>
        <v>39.700000000000003</v>
      </c>
      <c r="R123" s="104">
        <f t="shared" si="68"/>
        <v>0</v>
      </c>
    </row>
    <row r="124" spans="1:18">
      <c r="A124" s="11">
        <v>35</v>
      </c>
      <c r="B124" s="11" t="s">
        <v>225</v>
      </c>
      <c r="C124" s="109">
        <v>3</v>
      </c>
      <c r="D124" s="109">
        <v>2</v>
      </c>
      <c r="E124" s="100">
        <f t="shared" si="59"/>
        <v>23.16</v>
      </c>
      <c r="F124" s="100">
        <f t="shared" si="60"/>
        <v>8</v>
      </c>
      <c r="G124" s="100">
        <f t="shared" si="61"/>
        <v>27</v>
      </c>
      <c r="H124" s="100">
        <f t="shared" si="62"/>
        <v>8</v>
      </c>
      <c r="I124" s="100">
        <f t="shared" si="63"/>
        <v>3</v>
      </c>
      <c r="J124" s="100">
        <f t="shared" si="64"/>
        <v>3.3000000000000003</v>
      </c>
      <c r="K124" s="100">
        <f t="shared" si="65"/>
        <v>9.9599999999999991</v>
      </c>
      <c r="L124" s="100">
        <f t="shared" si="66"/>
        <v>5.6999999999999993</v>
      </c>
      <c r="M124" s="110"/>
      <c r="N124" s="102"/>
      <c r="O124" s="103"/>
      <c r="P124" s="102">
        <v>83.7</v>
      </c>
      <c r="Q124" s="104">
        <f t="shared" si="67"/>
        <v>55.800000000000004</v>
      </c>
      <c r="R124" s="104">
        <f t="shared" si="68"/>
        <v>27.9</v>
      </c>
    </row>
    <row r="125" spans="1:18">
      <c r="A125" s="11">
        <v>36</v>
      </c>
      <c r="B125" s="11" t="s">
        <v>227</v>
      </c>
      <c r="C125" s="109">
        <v>3</v>
      </c>
      <c r="D125" s="109">
        <v>2</v>
      </c>
      <c r="E125" s="100">
        <f t="shared" si="59"/>
        <v>23.16</v>
      </c>
      <c r="F125" s="100">
        <f t="shared" si="60"/>
        <v>8</v>
      </c>
      <c r="G125" s="100">
        <f t="shared" si="61"/>
        <v>27</v>
      </c>
      <c r="H125" s="100">
        <f t="shared" si="62"/>
        <v>8</v>
      </c>
      <c r="I125" s="100">
        <f t="shared" si="63"/>
        <v>3</v>
      </c>
      <c r="J125" s="100">
        <f t="shared" si="64"/>
        <v>3.3000000000000003</v>
      </c>
      <c r="K125" s="100">
        <f t="shared" si="65"/>
        <v>9.9599999999999991</v>
      </c>
      <c r="L125" s="100">
        <f t="shared" si="66"/>
        <v>5.6999999999999993</v>
      </c>
      <c r="M125" s="110"/>
      <c r="N125" s="102"/>
      <c r="O125" s="103"/>
      <c r="P125" s="102">
        <v>87.1</v>
      </c>
      <c r="Q125" s="104">
        <f t="shared" si="67"/>
        <v>58.066666666666663</v>
      </c>
      <c r="R125" s="104">
        <f t="shared" si="68"/>
        <v>29.033333333333331</v>
      </c>
    </row>
    <row r="126" spans="1:18">
      <c r="A126" s="11">
        <v>37</v>
      </c>
      <c r="B126" s="11" t="s">
        <v>140</v>
      </c>
      <c r="C126" s="109">
        <v>3</v>
      </c>
      <c r="D126" s="111">
        <v>1</v>
      </c>
      <c r="E126" s="100">
        <f t="shared" si="59"/>
        <v>11.58</v>
      </c>
      <c r="F126" s="100">
        <f t="shared" si="60"/>
        <v>4</v>
      </c>
      <c r="G126" s="100">
        <f t="shared" si="61"/>
        <v>13.5</v>
      </c>
      <c r="H126" s="100">
        <f t="shared" si="62"/>
        <v>4</v>
      </c>
      <c r="I126" s="100">
        <f t="shared" si="63"/>
        <v>1.5</v>
      </c>
      <c r="J126" s="100">
        <f t="shared" si="64"/>
        <v>1.6500000000000001</v>
      </c>
      <c r="K126" s="100">
        <f t="shared" si="65"/>
        <v>4.9799999999999995</v>
      </c>
      <c r="L126" s="100">
        <f t="shared" si="66"/>
        <v>2.8499999999999996</v>
      </c>
      <c r="M126" s="110"/>
      <c r="N126" s="102"/>
      <c r="O126" s="103"/>
      <c r="P126" s="102">
        <v>66.5</v>
      </c>
      <c r="Q126" s="104">
        <f t="shared" si="67"/>
        <v>44.333333333333336</v>
      </c>
      <c r="R126" s="104">
        <f t="shared" si="68"/>
        <v>22.166666666666664</v>
      </c>
    </row>
    <row r="127" spans="1:18">
      <c r="A127" s="11">
        <v>38</v>
      </c>
      <c r="B127" s="11" t="s">
        <v>141</v>
      </c>
      <c r="C127" s="109">
        <v>3</v>
      </c>
      <c r="D127" s="109">
        <v>1</v>
      </c>
      <c r="E127" s="100">
        <f t="shared" si="59"/>
        <v>11.58</v>
      </c>
      <c r="F127" s="100">
        <f t="shared" si="60"/>
        <v>4</v>
      </c>
      <c r="G127" s="100">
        <f t="shared" si="61"/>
        <v>13.5</v>
      </c>
      <c r="H127" s="100">
        <f t="shared" si="62"/>
        <v>4</v>
      </c>
      <c r="I127" s="100">
        <f t="shared" si="63"/>
        <v>1.5</v>
      </c>
      <c r="J127" s="100">
        <f t="shared" si="64"/>
        <v>1.6500000000000001</v>
      </c>
      <c r="K127" s="100">
        <f t="shared" si="65"/>
        <v>4.9799999999999995</v>
      </c>
      <c r="L127" s="100">
        <f t="shared" si="66"/>
        <v>2.8499999999999996</v>
      </c>
      <c r="M127" s="110"/>
      <c r="N127" s="102"/>
      <c r="O127" s="103"/>
      <c r="P127" s="102">
        <v>67</v>
      </c>
      <c r="Q127" s="104">
        <f t="shared" si="67"/>
        <v>44.666666666666664</v>
      </c>
      <c r="R127" s="104">
        <f t="shared" si="68"/>
        <v>22.333333333333336</v>
      </c>
    </row>
    <row r="128" spans="1:18">
      <c r="A128" s="11">
        <v>39</v>
      </c>
      <c r="B128" s="11" t="s">
        <v>143</v>
      </c>
      <c r="C128" s="109">
        <v>3</v>
      </c>
      <c r="D128" s="109">
        <v>2</v>
      </c>
      <c r="E128" s="100">
        <f t="shared" si="59"/>
        <v>23.16</v>
      </c>
      <c r="F128" s="100">
        <f t="shared" si="60"/>
        <v>8</v>
      </c>
      <c r="G128" s="100">
        <f t="shared" si="61"/>
        <v>27</v>
      </c>
      <c r="H128" s="100">
        <f t="shared" si="62"/>
        <v>8</v>
      </c>
      <c r="I128" s="100">
        <f t="shared" si="63"/>
        <v>3</v>
      </c>
      <c r="J128" s="100">
        <f t="shared" si="64"/>
        <v>3.3000000000000003</v>
      </c>
      <c r="K128" s="100">
        <f t="shared" si="65"/>
        <v>9.9599999999999991</v>
      </c>
      <c r="L128" s="100">
        <f t="shared" si="66"/>
        <v>5.6999999999999993</v>
      </c>
      <c r="M128" s="110"/>
      <c r="N128" s="102"/>
      <c r="O128" s="103"/>
      <c r="P128" s="102">
        <v>106.1</v>
      </c>
      <c r="Q128" s="104">
        <f t="shared" si="67"/>
        <v>70.733333333333334</v>
      </c>
      <c r="R128" s="104">
        <f t="shared" si="68"/>
        <v>35.36666666666666</v>
      </c>
    </row>
    <row r="129" spans="1:18">
      <c r="A129" s="11">
        <v>40</v>
      </c>
      <c r="B129" s="11" t="s">
        <v>145</v>
      </c>
      <c r="C129" s="109">
        <v>3</v>
      </c>
      <c r="D129" s="109">
        <v>4</v>
      </c>
      <c r="E129" s="100">
        <f t="shared" si="59"/>
        <v>46.32</v>
      </c>
      <c r="F129" s="100">
        <f t="shared" si="60"/>
        <v>16</v>
      </c>
      <c r="G129" s="100">
        <f t="shared" si="61"/>
        <v>54</v>
      </c>
      <c r="H129" s="100">
        <f t="shared" si="62"/>
        <v>16</v>
      </c>
      <c r="I129" s="100">
        <f t="shared" si="63"/>
        <v>6</v>
      </c>
      <c r="J129" s="100">
        <f t="shared" si="64"/>
        <v>6.6000000000000005</v>
      </c>
      <c r="K129" s="100">
        <f t="shared" si="65"/>
        <v>19.919999999999998</v>
      </c>
      <c r="L129" s="100">
        <f t="shared" si="66"/>
        <v>11.399999999999999</v>
      </c>
      <c r="M129" s="110"/>
      <c r="N129" s="102"/>
      <c r="O129" s="103"/>
      <c r="P129" s="102">
        <v>158</v>
      </c>
      <c r="Q129" s="104">
        <f t="shared" si="67"/>
        <v>105.33333333333333</v>
      </c>
      <c r="R129" s="104">
        <f t="shared" si="68"/>
        <v>52.666666666666671</v>
      </c>
    </row>
    <row r="130" spans="1:18">
      <c r="A130" s="11">
        <v>41</v>
      </c>
      <c r="B130" s="11" t="s">
        <v>146</v>
      </c>
      <c r="C130" s="109">
        <v>3</v>
      </c>
      <c r="D130" s="109">
        <v>3</v>
      </c>
      <c r="E130" s="100">
        <f t="shared" si="59"/>
        <v>34.74</v>
      </c>
      <c r="F130" s="100">
        <f t="shared" si="60"/>
        <v>12</v>
      </c>
      <c r="G130" s="100">
        <f t="shared" si="61"/>
        <v>40.5</v>
      </c>
      <c r="H130" s="100">
        <f t="shared" si="62"/>
        <v>12</v>
      </c>
      <c r="I130" s="100">
        <f t="shared" si="63"/>
        <v>4.5</v>
      </c>
      <c r="J130" s="100">
        <f t="shared" si="64"/>
        <v>4.95</v>
      </c>
      <c r="K130" s="100">
        <f t="shared" si="65"/>
        <v>14.939999999999998</v>
      </c>
      <c r="L130" s="100">
        <f t="shared" si="66"/>
        <v>8.5499999999999989</v>
      </c>
      <c r="M130" s="110"/>
      <c r="N130" s="102"/>
      <c r="O130" s="103"/>
      <c r="P130" s="102">
        <v>152.19999999999999</v>
      </c>
      <c r="Q130" s="104">
        <f t="shared" si="67"/>
        <v>101.46666666666665</v>
      </c>
      <c r="R130" s="104">
        <f t="shared" si="68"/>
        <v>50.733333333333334</v>
      </c>
    </row>
    <row r="131" spans="1:18">
      <c r="A131" s="11">
        <v>42</v>
      </c>
      <c r="B131" s="11" t="s">
        <v>228</v>
      </c>
      <c r="C131" s="109">
        <v>3</v>
      </c>
      <c r="D131" s="109">
        <v>4</v>
      </c>
      <c r="E131" s="100">
        <f t="shared" si="59"/>
        <v>46.32</v>
      </c>
      <c r="F131" s="100">
        <f t="shared" si="60"/>
        <v>16</v>
      </c>
      <c r="G131" s="100">
        <f t="shared" si="61"/>
        <v>54</v>
      </c>
      <c r="H131" s="100">
        <f t="shared" si="62"/>
        <v>16</v>
      </c>
      <c r="I131" s="100">
        <f t="shared" si="63"/>
        <v>6</v>
      </c>
      <c r="J131" s="100">
        <f t="shared" si="64"/>
        <v>6.6000000000000005</v>
      </c>
      <c r="K131" s="100">
        <f t="shared" si="65"/>
        <v>19.919999999999998</v>
      </c>
      <c r="L131" s="100">
        <f t="shared" si="66"/>
        <v>11.399999999999999</v>
      </c>
      <c r="M131" s="110"/>
      <c r="N131" s="102"/>
      <c r="O131" s="103"/>
      <c r="P131" s="102">
        <v>218.8</v>
      </c>
      <c r="Q131" s="104">
        <f t="shared" si="67"/>
        <v>145.86666666666667</v>
      </c>
      <c r="R131" s="104">
        <f t="shared" si="68"/>
        <v>72.933333333333337</v>
      </c>
    </row>
    <row r="132" spans="1:18">
      <c r="A132" s="11">
        <v>43</v>
      </c>
      <c r="B132" s="11" t="s">
        <v>147</v>
      </c>
      <c r="C132" s="109">
        <v>3</v>
      </c>
      <c r="D132" s="109">
        <v>3</v>
      </c>
      <c r="E132" s="100">
        <f t="shared" si="59"/>
        <v>34.74</v>
      </c>
      <c r="F132" s="100">
        <f t="shared" si="60"/>
        <v>12</v>
      </c>
      <c r="G132" s="100">
        <f t="shared" si="61"/>
        <v>40.5</v>
      </c>
      <c r="H132" s="100">
        <f t="shared" si="62"/>
        <v>12</v>
      </c>
      <c r="I132" s="100">
        <f t="shared" si="63"/>
        <v>4.5</v>
      </c>
      <c r="J132" s="100">
        <f t="shared" si="64"/>
        <v>4.95</v>
      </c>
      <c r="K132" s="100">
        <f t="shared" si="65"/>
        <v>14.939999999999998</v>
      </c>
      <c r="L132" s="100">
        <f t="shared" si="66"/>
        <v>8.5499999999999989</v>
      </c>
      <c r="M132" s="110"/>
      <c r="N132" s="102"/>
      <c r="O132" s="103"/>
      <c r="P132" s="102">
        <v>58.9</v>
      </c>
      <c r="Q132" s="104">
        <f t="shared" si="67"/>
        <v>39.266666666666666</v>
      </c>
      <c r="R132" s="104">
        <f t="shared" si="68"/>
        <v>19.633333333333333</v>
      </c>
    </row>
    <row r="133" spans="1:18">
      <c r="A133" s="11">
        <v>44</v>
      </c>
      <c r="B133" s="11" t="s">
        <v>148</v>
      </c>
      <c r="C133" s="109">
        <v>3</v>
      </c>
      <c r="D133" s="109">
        <v>3</v>
      </c>
      <c r="E133" s="100">
        <f t="shared" si="59"/>
        <v>34.74</v>
      </c>
      <c r="F133" s="100">
        <f t="shared" si="60"/>
        <v>12</v>
      </c>
      <c r="G133" s="100">
        <f t="shared" si="61"/>
        <v>40.5</v>
      </c>
      <c r="H133" s="100">
        <f t="shared" si="62"/>
        <v>12</v>
      </c>
      <c r="I133" s="100">
        <f t="shared" si="63"/>
        <v>4.5</v>
      </c>
      <c r="J133" s="100">
        <f t="shared" si="64"/>
        <v>4.95</v>
      </c>
      <c r="K133" s="100">
        <f t="shared" si="65"/>
        <v>14.939999999999998</v>
      </c>
      <c r="L133" s="100">
        <f t="shared" si="66"/>
        <v>8.5499999999999989</v>
      </c>
      <c r="M133" s="110"/>
      <c r="N133" s="102"/>
      <c r="O133" s="103"/>
      <c r="P133" s="102">
        <v>60.9</v>
      </c>
      <c r="Q133" s="104">
        <f t="shared" si="67"/>
        <v>40.6</v>
      </c>
      <c r="R133" s="104">
        <f t="shared" si="68"/>
        <v>20.299999999999997</v>
      </c>
    </row>
    <row r="134" spans="1:18">
      <c r="A134" s="11">
        <v>45</v>
      </c>
      <c r="B134" s="11" t="s">
        <v>149</v>
      </c>
      <c r="C134" s="109">
        <v>3</v>
      </c>
      <c r="D134" s="109">
        <v>3</v>
      </c>
      <c r="E134" s="100">
        <f t="shared" si="59"/>
        <v>34.74</v>
      </c>
      <c r="F134" s="100">
        <f t="shared" si="60"/>
        <v>12</v>
      </c>
      <c r="G134" s="100">
        <f t="shared" si="61"/>
        <v>40.5</v>
      </c>
      <c r="H134" s="100">
        <f t="shared" si="62"/>
        <v>12</v>
      </c>
      <c r="I134" s="100">
        <f t="shared" si="63"/>
        <v>4.5</v>
      </c>
      <c r="J134" s="100">
        <f t="shared" si="64"/>
        <v>4.95</v>
      </c>
      <c r="K134" s="100">
        <f t="shared" si="65"/>
        <v>14.939999999999998</v>
      </c>
      <c r="L134" s="100">
        <f t="shared" si="66"/>
        <v>8.5499999999999989</v>
      </c>
      <c r="M134" s="110"/>
      <c r="N134" s="102"/>
      <c r="O134" s="103"/>
      <c r="P134" s="102">
        <v>144</v>
      </c>
      <c r="Q134" s="104">
        <f t="shared" si="67"/>
        <v>96</v>
      </c>
      <c r="R134" s="104">
        <f t="shared" si="68"/>
        <v>48</v>
      </c>
    </row>
    <row r="135" spans="1:18">
      <c r="A135" s="11">
        <v>46</v>
      </c>
      <c r="B135" s="11" t="s">
        <v>150</v>
      </c>
      <c r="C135" s="109">
        <v>3</v>
      </c>
      <c r="D135" s="109">
        <v>1</v>
      </c>
      <c r="E135" s="100">
        <f t="shared" si="59"/>
        <v>11.58</v>
      </c>
      <c r="F135" s="100">
        <f t="shared" si="60"/>
        <v>4</v>
      </c>
      <c r="G135" s="100">
        <f t="shared" si="61"/>
        <v>13.5</v>
      </c>
      <c r="H135" s="100">
        <f t="shared" si="62"/>
        <v>4</v>
      </c>
      <c r="I135" s="100">
        <f t="shared" si="63"/>
        <v>1.5</v>
      </c>
      <c r="J135" s="100">
        <f t="shared" si="64"/>
        <v>1.6500000000000001</v>
      </c>
      <c r="K135" s="100">
        <f t="shared" si="65"/>
        <v>4.9799999999999995</v>
      </c>
      <c r="L135" s="100">
        <f t="shared" si="66"/>
        <v>2.8499999999999996</v>
      </c>
      <c r="M135" s="110"/>
      <c r="N135" s="102"/>
      <c r="O135" s="103"/>
      <c r="P135" s="102">
        <v>58.2</v>
      </c>
      <c r="Q135" s="104">
        <f t="shared" si="67"/>
        <v>38.800000000000004</v>
      </c>
      <c r="R135" s="104">
        <f t="shared" si="68"/>
        <v>19.399999999999999</v>
      </c>
    </row>
    <row r="136" spans="1:18">
      <c r="A136" s="11">
        <v>47</v>
      </c>
      <c r="B136" s="11" t="s">
        <v>151</v>
      </c>
      <c r="C136" s="109">
        <v>3</v>
      </c>
      <c r="D136" s="109">
        <v>4</v>
      </c>
      <c r="E136" s="100">
        <f t="shared" si="59"/>
        <v>46.32</v>
      </c>
      <c r="F136" s="100">
        <f t="shared" si="60"/>
        <v>16</v>
      </c>
      <c r="G136" s="100">
        <f t="shared" si="61"/>
        <v>54</v>
      </c>
      <c r="H136" s="100">
        <f t="shared" si="62"/>
        <v>16</v>
      </c>
      <c r="I136" s="100">
        <f t="shared" si="63"/>
        <v>6</v>
      </c>
      <c r="J136" s="100">
        <f t="shared" si="64"/>
        <v>6.6000000000000005</v>
      </c>
      <c r="K136" s="100">
        <f t="shared" si="65"/>
        <v>19.919999999999998</v>
      </c>
      <c r="L136" s="100">
        <f t="shared" si="66"/>
        <v>11.399999999999999</v>
      </c>
      <c r="M136" s="110"/>
      <c r="N136" s="102"/>
      <c r="O136" s="103"/>
      <c r="P136" s="102">
        <v>263.10000000000002</v>
      </c>
      <c r="Q136" s="104">
        <f t="shared" si="67"/>
        <v>175.4</v>
      </c>
      <c r="R136" s="104">
        <f t="shared" si="68"/>
        <v>87.700000000000017</v>
      </c>
    </row>
    <row r="137" spans="1:18">
      <c r="A137" s="11">
        <v>48</v>
      </c>
      <c r="B137" s="11" t="s">
        <v>152</v>
      </c>
      <c r="C137" s="109">
        <v>2</v>
      </c>
      <c r="D137" s="111">
        <v>1</v>
      </c>
      <c r="E137" s="100">
        <f t="shared" si="59"/>
        <v>7.72</v>
      </c>
      <c r="F137" s="100">
        <f t="shared" si="60"/>
        <v>4</v>
      </c>
      <c r="G137" s="100">
        <f t="shared" si="61"/>
        <v>9</v>
      </c>
      <c r="H137" s="100">
        <f t="shared" si="62"/>
        <v>3</v>
      </c>
      <c r="I137" s="100">
        <f t="shared" si="63"/>
        <v>1</v>
      </c>
      <c r="J137" s="100">
        <f t="shared" si="64"/>
        <v>1.1000000000000001</v>
      </c>
      <c r="K137" s="100">
        <f t="shared" si="65"/>
        <v>3.32</v>
      </c>
      <c r="L137" s="100">
        <f t="shared" si="66"/>
        <v>1.9</v>
      </c>
      <c r="M137" s="110"/>
      <c r="N137" s="102"/>
      <c r="O137" s="103"/>
      <c r="P137" s="102">
        <v>39.200000000000003</v>
      </c>
      <c r="Q137" s="104">
        <f t="shared" si="67"/>
        <v>39.200000000000003</v>
      </c>
      <c r="R137" s="104">
        <f t="shared" si="68"/>
        <v>0</v>
      </c>
    </row>
    <row r="138" spans="1:18">
      <c r="A138" s="11">
        <v>49</v>
      </c>
      <c r="B138" s="11" t="s">
        <v>153</v>
      </c>
      <c r="C138" s="109">
        <v>2</v>
      </c>
      <c r="D138" s="111">
        <v>1</v>
      </c>
      <c r="E138" s="100">
        <f t="shared" si="59"/>
        <v>7.72</v>
      </c>
      <c r="F138" s="100">
        <f t="shared" si="60"/>
        <v>4</v>
      </c>
      <c r="G138" s="100">
        <f t="shared" si="61"/>
        <v>9</v>
      </c>
      <c r="H138" s="100">
        <f t="shared" si="62"/>
        <v>3</v>
      </c>
      <c r="I138" s="100">
        <f t="shared" si="63"/>
        <v>1</v>
      </c>
      <c r="J138" s="100">
        <f t="shared" si="64"/>
        <v>1.1000000000000001</v>
      </c>
      <c r="K138" s="100">
        <f t="shared" si="65"/>
        <v>3.32</v>
      </c>
      <c r="L138" s="100">
        <f t="shared" si="66"/>
        <v>1.9</v>
      </c>
      <c r="M138" s="110"/>
      <c r="N138" s="102"/>
      <c r="O138" s="103"/>
      <c r="P138" s="102">
        <v>42</v>
      </c>
      <c r="Q138" s="104">
        <f t="shared" si="67"/>
        <v>42</v>
      </c>
      <c r="R138" s="104">
        <f t="shared" si="68"/>
        <v>0</v>
      </c>
    </row>
    <row r="139" spans="1:18">
      <c r="A139" s="11">
        <v>50</v>
      </c>
      <c r="B139" s="11" t="s">
        <v>229</v>
      </c>
      <c r="C139" s="109">
        <v>3</v>
      </c>
      <c r="D139" s="109">
        <v>2</v>
      </c>
      <c r="E139" s="100">
        <f t="shared" si="59"/>
        <v>23.16</v>
      </c>
      <c r="F139" s="100">
        <f t="shared" si="60"/>
        <v>8</v>
      </c>
      <c r="G139" s="100">
        <f t="shared" si="61"/>
        <v>27</v>
      </c>
      <c r="H139" s="100">
        <f t="shared" si="62"/>
        <v>8</v>
      </c>
      <c r="I139" s="100">
        <f t="shared" si="63"/>
        <v>3</v>
      </c>
      <c r="J139" s="100">
        <f t="shared" si="64"/>
        <v>3.3000000000000003</v>
      </c>
      <c r="K139" s="100">
        <f t="shared" si="65"/>
        <v>9.9599999999999991</v>
      </c>
      <c r="L139" s="100">
        <f t="shared" si="66"/>
        <v>5.6999999999999993</v>
      </c>
      <c r="M139" s="110"/>
      <c r="N139" s="102"/>
      <c r="O139" s="103"/>
      <c r="P139" s="102">
        <v>159.30000000000001</v>
      </c>
      <c r="Q139" s="104">
        <f t="shared" si="67"/>
        <v>106.2</v>
      </c>
      <c r="R139" s="104">
        <f t="shared" si="68"/>
        <v>53.100000000000009</v>
      </c>
    </row>
    <row r="140" spans="1:18">
      <c r="A140" s="11">
        <v>51</v>
      </c>
      <c r="B140" s="11" t="s">
        <v>154</v>
      </c>
      <c r="C140" s="109">
        <v>2</v>
      </c>
      <c r="D140" s="109">
        <v>1</v>
      </c>
      <c r="E140" s="100">
        <f t="shared" si="59"/>
        <v>7.72</v>
      </c>
      <c r="F140" s="100">
        <f t="shared" si="60"/>
        <v>4</v>
      </c>
      <c r="G140" s="100">
        <f t="shared" si="61"/>
        <v>9</v>
      </c>
      <c r="H140" s="100">
        <f t="shared" si="62"/>
        <v>3</v>
      </c>
      <c r="I140" s="100">
        <f t="shared" si="63"/>
        <v>1</v>
      </c>
      <c r="J140" s="100">
        <f t="shared" si="64"/>
        <v>1.1000000000000001</v>
      </c>
      <c r="K140" s="100">
        <f t="shared" si="65"/>
        <v>3.32</v>
      </c>
      <c r="L140" s="100">
        <f t="shared" si="66"/>
        <v>1.9</v>
      </c>
      <c r="M140" s="110"/>
      <c r="N140" s="102"/>
      <c r="O140" s="103"/>
      <c r="P140" s="102">
        <v>39.5</v>
      </c>
      <c r="Q140" s="104">
        <f t="shared" si="67"/>
        <v>39.5</v>
      </c>
      <c r="R140" s="104">
        <f t="shared" si="68"/>
        <v>0</v>
      </c>
    </row>
    <row r="141" spans="1:18">
      <c r="A141" s="11">
        <v>52</v>
      </c>
      <c r="B141" s="11" t="s">
        <v>155</v>
      </c>
      <c r="C141" s="109">
        <v>3</v>
      </c>
      <c r="D141" s="109">
        <v>3</v>
      </c>
      <c r="E141" s="100">
        <f t="shared" si="59"/>
        <v>34.74</v>
      </c>
      <c r="F141" s="100">
        <f t="shared" si="60"/>
        <v>12</v>
      </c>
      <c r="G141" s="100">
        <f t="shared" si="61"/>
        <v>40.5</v>
      </c>
      <c r="H141" s="100">
        <f t="shared" si="62"/>
        <v>12</v>
      </c>
      <c r="I141" s="100">
        <f t="shared" si="63"/>
        <v>4.5</v>
      </c>
      <c r="J141" s="100">
        <f t="shared" si="64"/>
        <v>4.95</v>
      </c>
      <c r="K141" s="100">
        <f t="shared" si="65"/>
        <v>14.939999999999998</v>
      </c>
      <c r="L141" s="100">
        <f t="shared" si="66"/>
        <v>8.5499999999999989</v>
      </c>
      <c r="M141" s="110"/>
      <c r="N141" s="102"/>
      <c r="O141" s="103"/>
      <c r="P141" s="102">
        <v>180</v>
      </c>
      <c r="Q141" s="104">
        <f t="shared" si="67"/>
        <v>120</v>
      </c>
      <c r="R141" s="104">
        <f t="shared" si="68"/>
        <v>60</v>
      </c>
    </row>
    <row r="142" spans="1:18">
      <c r="A142" s="11">
        <v>53</v>
      </c>
      <c r="B142" s="11" t="s">
        <v>156</v>
      </c>
      <c r="C142" s="109">
        <v>2</v>
      </c>
      <c r="D142" s="109">
        <v>1</v>
      </c>
      <c r="E142" s="100">
        <f t="shared" si="59"/>
        <v>7.72</v>
      </c>
      <c r="F142" s="100">
        <f t="shared" si="60"/>
        <v>4</v>
      </c>
      <c r="G142" s="100">
        <f t="shared" si="61"/>
        <v>9</v>
      </c>
      <c r="H142" s="100">
        <f t="shared" si="62"/>
        <v>3</v>
      </c>
      <c r="I142" s="100">
        <f t="shared" si="63"/>
        <v>1</v>
      </c>
      <c r="J142" s="100">
        <f t="shared" si="64"/>
        <v>1.1000000000000001</v>
      </c>
      <c r="K142" s="100">
        <f t="shared" si="65"/>
        <v>3.32</v>
      </c>
      <c r="L142" s="100">
        <f t="shared" si="66"/>
        <v>1.9</v>
      </c>
      <c r="M142" s="110"/>
      <c r="N142" s="102"/>
      <c r="O142" s="103"/>
      <c r="P142" s="102">
        <v>38.6</v>
      </c>
      <c r="Q142" s="104">
        <f t="shared" si="67"/>
        <v>38.6</v>
      </c>
      <c r="R142" s="104">
        <f t="shared" si="68"/>
        <v>0</v>
      </c>
    </row>
    <row r="143" spans="1:18">
      <c r="A143" s="11">
        <v>54</v>
      </c>
      <c r="B143" s="11" t="s">
        <v>232</v>
      </c>
      <c r="C143" s="109">
        <v>3</v>
      </c>
      <c r="D143" s="109">
        <v>3</v>
      </c>
      <c r="E143" s="100">
        <f t="shared" si="59"/>
        <v>34.74</v>
      </c>
      <c r="F143" s="100">
        <f t="shared" si="60"/>
        <v>12</v>
      </c>
      <c r="G143" s="100">
        <f t="shared" si="61"/>
        <v>40.5</v>
      </c>
      <c r="H143" s="100">
        <f t="shared" si="62"/>
        <v>12</v>
      </c>
      <c r="I143" s="100">
        <f t="shared" si="63"/>
        <v>4.5</v>
      </c>
      <c r="J143" s="100">
        <f t="shared" si="64"/>
        <v>4.95</v>
      </c>
      <c r="K143" s="100">
        <f t="shared" si="65"/>
        <v>14.939999999999998</v>
      </c>
      <c r="L143" s="100">
        <f t="shared" si="66"/>
        <v>8.5499999999999989</v>
      </c>
      <c r="M143" s="110"/>
      <c r="N143" s="102"/>
      <c r="O143" s="103"/>
      <c r="P143" s="102">
        <v>247</v>
      </c>
      <c r="Q143" s="104">
        <f t="shared" si="67"/>
        <v>164.66666666666666</v>
      </c>
      <c r="R143" s="104">
        <f t="shared" si="68"/>
        <v>82.333333333333343</v>
      </c>
    </row>
    <row r="144" spans="1:18">
      <c r="A144" s="11">
        <v>55</v>
      </c>
      <c r="B144" s="11" t="s">
        <v>157</v>
      </c>
      <c r="C144" s="109">
        <v>2</v>
      </c>
      <c r="D144" s="109">
        <v>1</v>
      </c>
      <c r="E144" s="100">
        <f t="shared" si="59"/>
        <v>7.72</v>
      </c>
      <c r="F144" s="100">
        <f t="shared" si="60"/>
        <v>4</v>
      </c>
      <c r="G144" s="100">
        <f t="shared" si="61"/>
        <v>9</v>
      </c>
      <c r="H144" s="100">
        <f t="shared" si="62"/>
        <v>3</v>
      </c>
      <c r="I144" s="100">
        <f t="shared" si="63"/>
        <v>1</v>
      </c>
      <c r="J144" s="100">
        <f t="shared" si="64"/>
        <v>1.1000000000000001</v>
      </c>
      <c r="K144" s="100">
        <f t="shared" si="65"/>
        <v>3.32</v>
      </c>
      <c r="L144" s="100">
        <f t="shared" si="66"/>
        <v>1.9</v>
      </c>
      <c r="M144" s="110"/>
      <c r="N144" s="102"/>
      <c r="O144" s="103"/>
      <c r="P144" s="102">
        <v>39.200000000000003</v>
      </c>
      <c r="Q144" s="104">
        <f t="shared" si="67"/>
        <v>39.200000000000003</v>
      </c>
      <c r="R144" s="104">
        <f t="shared" si="68"/>
        <v>0</v>
      </c>
    </row>
    <row r="145" spans="1:18">
      <c r="A145" s="11">
        <v>56</v>
      </c>
      <c r="B145" s="11" t="s">
        <v>233</v>
      </c>
      <c r="C145" s="109">
        <v>3</v>
      </c>
      <c r="D145" s="109">
        <v>4</v>
      </c>
      <c r="E145" s="100">
        <f t="shared" si="59"/>
        <v>46.32</v>
      </c>
      <c r="F145" s="100">
        <f t="shared" si="60"/>
        <v>16</v>
      </c>
      <c r="G145" s="100">
        <f t="shared" si="61"/>
        <v>54</v>
      </c>
      <c r="H145" s="100">
        <f t="shared" si="62"/>
        <v>16</v>
      </c>
      <c r="I145" s="100">
        <f t="shared" si="63"/>
        <v>6</v>
      </c>
      <c r="J145" s="100">
        <f t="shared" si="64"/>
        <v>6.6000000000000005</v>
      </c>
      <c r="K145" s="100">
        <f t="shared" si="65"/>
        <v>19.919999999999998</v>
      </c>
      <c r="L145" s="100">
        <f t="shared" si="66"/>
        <v>11.399999999999999</v>
      </c>
      <c r="M145" s="110"/>
      <c r="N145" s="102"/>
      <c r="O145" s="103"/>
      <c r="P145" s="102">
        <v>258.89999999999998</v>
      </c>
      <c r="Q145" s="104">
        <f t="shared" si="67"/>
        <v>172.6</v>
      </c>
      <c r="R145" s="104">
        <f t="shared" si="68"/>
        <v>86.299999999999983</v>
      </c>
    </row>
    <row r="146" spans="1:18">
      <c r="A146" s="11">
        <v>57</v>
      </c>
      <c r="B146" s="11" t="s">
        <v>230</v>
      </c>
      <c r="C146" s="11">
        <v>4</v>
      </c>
      <c r="D146" s="11">
        <v>4</v>
      </c>
      <c r="E146" s="104">
        <f t="shared" si="59"/>
        <v>61.76</v>
      </c>
      <c r="F146" s="104">
        <f t="shared" si="60"/>
        <v>16</v>
      </c>
      <c r="G146" s="104">
        <f t="shared" si="61"/>
        <v>72</v>
      </c>
      <c r="H146" s="104">
        <f t="shared" si="62"/>
        <v>20</v>
      </c>
      <c r="I146" s="104">
        <f t="shared" si="63"/>
        <v>8</v>
      </c>
      <c r="J146" s="104">
        <f t="shared" si="64"/>
        <v>8.8000000000000007</v>
      </c>
      <c r="K146" s="104">
        <f t="shared" si="65"/>
        <v>26.56</v>
      </c>
      <c r="L146" s="104">
        <f t="shared" si="66"/>
        <v>15.2</v>
      </c>
      <c r="M146" s="104"/>
      <c r="N146" s="104"/>
      <c r="O146" s="104"/>
      <c r="P146" s="100">
        <v>307</v>
      </c>
      <c r="Q146" s="104">
        <f t="shared" si="67"/>
        <v>153.5</v>
      </c>
      <c r="R146" s="104">
        <f t="shared" si="68"/>
        <v>153.5</v>
      </c>
    </row>
    <row r="147" spans="1:18">
      <c r="A147" s="11">
        <v>58</v>
      </c>
      <c r="B147" s="11" t="s">
        <v>231</v>
      </c>
      <c r="C147" s="11">
        <v>4</v>
      </c>
      <c r="D147" s="11">
        <v>1</v>
      </c>
      <c r="E147" s="104">
        <f t="shared" si="59"/>
        <v>15.44</v>
      </c>
      <c r="F147" s="104">
        <f t="shared" si="60"/>
        <v>4</v>
      </c>
      <c r="G147" s="104">
        <f t="shared" si="61"/>
        <v>18</v>
      </c>
      <c r="H147" s="104">
        <f t="shared" si="62"/>
        <v>5</v>
      </c>
      <c r="I147" s="104">
        <f t="shared" si="63"/>
        <v>2</v>
      </c>
      <c r="J147" s="104">
        <f t="shared" si="64"/>
        <v>2.2000000000000002</v>
      </c>
      <c r="K147" s="104">
        <f t="shared" si="65"/>
        <v>6.64</v>
      </c>
      <c r="L147" s="104">
        <f t="shared" si="66"/>
        <v>3.8</v>
      </c>
      <c r="M147" s="104"/>
      <c r="N147" s="104"/>
      <c r="O147" s="104"/>
      <c r="P147" s="100">
        <v>81.3</v>
      </c>
      <c r="Q147" s="104">
        <f t="shared" si="67"/>
        <v>40.65</v>
      </c>
      <c r="R147" s="104">
        <f t="shared" si="68"/>
        <v>40.65</v>
      </c>
    </row>
    <row r="148" spans="1:18">
      <c r="A148" s="11">
        <v>59</v>
      </c>
      <c r="B148" s="11" t="s">
        <v>158</v>
      </c>
      <c r="C148" s="11">
        <v>4</v>
      </c>
      <c r="D148" s="11">
        <v>2</v>
      </c>
      <c r="E148" s="104">
        <f t="shared" si="59"/>
        <v>30.88</v>
      </c>
      <c r="F148" s="104">
        <f t="shared" si="60"/>
        <v>8</v>
      </c>
      <c r="G148" s="104">
        <f t="shared" si="61"/>
        <v>36</v>
      </c>
      <c r="H148" s="104">
        <f t="shared" si="62"/>
        <v>10</v>
      </c>
      <c r="I148" s="104">
        <f t="shared" si="63"/>
        <v>4</v>
      </c>
      <c r="J148" s="104">
        <f t="shared" si="64"/>
        <v>4.4000000000000004</v>
      </c>
      <c r="K148" s="104">
        <f t="shared" si="65"/>
        <v>13.28</v>
      </c>
      <c r="L148" s="104">
        <f t="shared" si="66"/>
        <v>7.6</v>
      </c>
      <c r="M148" s="104"/>
      <c r="N148" s="104"/>
      <c r="O148" s="104"/>
      <c r="P148" s="100">
        <v>115.2</v>
      </c>
      <c r="Q148" s="104">
        <f t="shared" si="67"/>
        <v>57.6</v>
      </c>
      <c r="R148" s="104">
        <f t="shared" si="68"/>
        <v>57.6</v>
      </c>
    </row>
    <row r="149" spans="1:18">
      <c r="A149" s="11">
        <v>60</v>
      </c>
      <c r="B149" s="11" t="s">
        <v>159</v>
      </c>
      <c r="C149" s="11">
        <v>4</v>
      </c>
      <c r="D149" s="11">
        <v>2</v>
      </c>
      <c r="E149" s="104">
        <f t="shared" si="59"/>
        <v>30.88</v>
      </c>
      <c r="F149" s="104">
        <f t="shared" si="60"/>
        <v>8</v>
      </c>
      <c r="G149" s="104">
        <f t="shared" si="61"/>
        <v>36</v>
      </c>
      <c r="H149" s="104">
        <f t="shared" si="62"/>
        <v>10</v>
      </c>
      <c r="I149" s="104">
        <f t="shared" si="63"/>
        <v>4</v>
      </c>
      <c r="J149" s="104">
        <f t="shared" si="64"/>
        <v>4.4000000000000004</v>
      </c>
      <c r="K149" s="104">
        <f t="shared" si="65"/>
        <v>13.28</v>
      </c>
      <c r="L149" s="104">
        <f t="shared" si="66"/>
        <v>7.6</v>
      </c>
      <c r="M149" s="104"/>
      <c r="N149" s="104"/>
      <c r="O149" s="104"/>
      <c r="P149" s="100">
        <v>137.4</v>
      </c>
      <c r="Q149" s="104">
        <f t="shared" si="67"/>
        <v>68.7</v>
      </c>
      <c r="R149" s="104">
        <f t="shared" si="68"/>
        <v>68.7</v>
      </c>
    </row>
    <row r="150" spans="1:18">
      <c r="A150" s="11">
        <v>61</v>
      </c>
      <c r="B150" s="11" t="s">
        <v>234</v>
      </c>
      <c r="C150" s="11">
        <v>4</v>
      </c>
      <c r="D150" s="11">
        <v>4</v>
      </c>
      <c r="E150" s="104">
        <f t="shared" si="59"/>
        <v>61.76</v>
      </c>
      <c r="F150" s="104">
        <f t="shared" si="60"/>
        <v>16</v>
      </c>
      <c r="G150" s="104">
        <f t="shared" si="61"/>
        <v>72</v>
      </c>
      <c r="H150" s="104">
        <f t="shared" si="62"/>
        <v>20</v>
      </c>
      <c r="I150" s="104">
        <f t="shared" si="63"/>
        <v>8</v>
      </c>
      <c r="J150" s="104">
        <f t="shared" si="64"/>
        <v>8.8000000000000007</v>
      </c>
      <c r="K150" s="104">
        <f t="shared" si="65"/>
        <v>26.56</v>
      </c>
      <c r="L150" s="104">
        <f t="shared" si="66"/>
        <v>15.2</v>
      </c>
      <c r="M150" s="104"/>
      <c r="N150" s="104"/>
      <c r="O150" s="104"/>
      <c r="P150" s="100">
        <v>254.1</v>
      </c>
      <c r="Q150" s="104">
        <f t="shared" si="67"/>
        <v>127.05</v>
      </c>
      <c r="R150" s="104">
        <f t="shared" si="68"/>
        <v>127.05</v>
      </c>
    </row>
    <row r="151" spans="1:18">
      <c r="A151" s="11">
        <v>62</v>
      </c>
      <c r="B151" s="11" t="s">
        <v>161</v>
      </c>
      <c r="C151" s="11">
        <v>4</v>
      </c>
      <c r="D151" s="11">
        <v>2</v>
      </c>
      <c r="E151" s="104">
        <f t="shared" si="59"/>
        <v>30.88</v>
      </c>
      <c r="F151" s="104">
        <f t="shared" si="60"/>
        <v>8</v>
      </c>
      <c r="G151" s="104">
        <f t="shared" si="61"/>
        <v>36</v>
      </c>
      <c r="H151" s="104">
        <f t="shared" si="62"/>
        <v>10</v>
      </c>
      <c r="I151" s="104">
        <f t="shared" si="63"/>
        <v>4</v>
      </c>
      <c r="J151" s="104">
        <f t="shared" si="64"/>
        <v>4.4000000000000004</v>
      </c>
      <c r="K151" s="104">
        <f t="shared" si="65"/>
        <v>13.28</v>
      </c>
      <c r="L151" s="104">
        <f t="shared" si="66"/>
        <v>7.6</v>
      </c>
      <c r="M151" s="104"/>
      <c r="N151" s="104"/>
      <c r="O151" s="104"/>
      <c r="P151" s="100">
        <v>126</v>
      </c>
      <c r="Q151" s="104">
        <f t="shared" si="67"/>
        <v>63</v>
      </c>
      <c r="R151" s="104">
        <f t="shared" si="68"/>
        <v>63</v>
      </c>
    </row>
    <row r="152" spans="1:18">
      <c r="A152" s="11">
        <v>63</v>
      </c>
      <c r="B152" s="11" t="s">
        <v>160</v>
      </c>
      <c r="C152" s="109">
        <v>3</v>
      </c>
      <c r="D152" s="109">
        <v>3</v>
      </c>
      <c r="E152" s="100">
        <f t="shared" si="59"/>
        <v>34.74</v>
      </c>
      <c r="F152" s="100">
        <f t="shared" si="60"/>
        <v>12</v>
      </c>
      <c r="G152" s="100">
        <f t="shared" si="61"/>
        <v>40.5</v>
      </c>
      <c r="H152" s="100">
        <f t="shared" si="62"/>
        <v>12</v>
      </c>
      <c r="I152" s="100">
        <f t="shared" si="63"/>
        <v>4.5</v>
      </c>
      <c r="J152" s="100">
        <f t="shared" si="64"/>
        <v>4.95</v>
      </c>
      <c r="K152" s="100">
        <f t="shared" si="65"/>
        <v>14.939999999999998</v>
      </c>
      <c r="L152" s="100">
        <f t="shared" si="66"/>
        <v>8.5499999999999989</v>
      </c>
      <c r="M152" s="110"/>
      <c r="N152" s="102"/>
      <c r="O152" s="103"/>
      <c r="P152" s="102">
        <v>116.9</v>
      </c>
      <c r="Q152" s="104">
        <f t="shared" si="67"/>
        <v>77.933333333333337</v>
      </c>
      <c r="R152" s="104">
        <f t="shared" si="68"/>
        <v>38.966666666666669</v>
      </c>
    </row>
    <row r="153" spans="1:18">
      <c r="A153" s="11">
        <v>64</v>
      </c>
      <c r="B153" s="11" t="s">
        <v>162</v>
      </c>
      <c r="C153" s="109">
        <v>3</v>
      </c>
      <c r="D153" s="109">
        <v>3</v>
      </c>
      <c r="E153" s="100">
        <f t="shared" si="59"/>
        <v>34.74</v>
      </c>
      <c r="F153" s="100">
        <f t="shared" si="60"/>
        <v>12</v>
      </c>
      <c r="G153" s="100">
        <f t="shared" si="61"/>
        <v>40.5</v>
      </c>
      <c r="H153" s="100">
        <f t="shared" si="62"/>
        <v>12</v>
      </c>
      <c r="I153" s="100">
        <f t="shared" si="63"/>
        <v>4.5</v>
      </c>
      <c r="J153" s="100">
        <f t="shared" si="64"/>
        <v>4.95</v>
      </c>
      <c r="K153" s="100">
        <f t="shared" si="65"/>
        <v>14.939999999999998</v>
      </c>
      <c r="L153" s="100">
        <f t="shared" si="66"/>
        <v>8.5499999999999989</v>
      </c>
      <c r="M153" s="110"/>
      <c r="N153" s="102"/>
      <c r="O153" s="103"/>
      <c r="P153" s="102">
        <v>170.2</v>
      </c>
      <c r="Q153" s="104">
        <f t="shared" si="67"/>
        <v>113.46666666666665</v>
      </c>
      <c r="R153" s="104">
        <f t="shared" si="68"/>
        <v>56.733333333333334</v>
      </c>
    </row>
    <row r="154" spans="1:18">
      <c r="A154" s="11">
        <v>65</v>
      </c>
      <c r="B154" s="11" t="s">
        <v>163</v>
      </c>
      <c r="C154" s="109">
        <v>3</v>
      </c>
      <c r="D154" s="109">
        <v>3</v>
      </c>
      <c r="E154" s="100">
        <f t="shared" ref="E154:E185" si="69">3.86*C154*D154</f>
        <v>34.74</v>
      </c>
      <c r="F154" s="100">
        <f t="shared" ref="F154:F185" si="70">4*D154</f>
        <v>12</v>
      </c>
      <c r="G154" s="100">
        <f t="shared" ref="G154:G185" si="71">4.5*C154*D154</f>
        <v>40.5</v>
      </c>
      <c r="H154" s="100">
        <f t="shared" ref="H154:H185" si="72">1*C154*D154+1*D154</f>
        <v>12</v>
      </c>
      <c r="I154" s="100">
        <f t="shared" ref="I154:I185" si="73">0.5*C154*D154</f>
        <v>4.5</v>
      </c>
      <c r="J154" s="100">
        <f t="shared" ref="J154:J185" si="74">0.55*C154*D154</f>
        <v>4.95</v>
      </c>
      <c r="K154" s="100">
        <f t="shared" ref="K154:K185" si="75">1.66*C154*D154</f>
        <v>14.939999999999998</v>
      </c>
      <c r="L154" s="100">
        <f t="shared" ref="L154:L185" si="76">0.95*C154*D154</f>
        <v>8.5499999999999989</v>
      </c>
      <c r="M154" s="110"/>
      <c r="N154" s="102"/>
      <c r="O154" s="103"/>
      <c r="P154" s="102">
        <v>123.9</v>
      </c>
      <c r="Q154" s="104">
        <f t="shared" ref="Q154:Q185" si="77">P154/C154*2</f>
        <v>82.600000000000009</v>
      </c>
      <c r="R154" s="104">
        <f t="shared" ref="R154:R185" si="78">P154-Q154</f>
        <v>41.3</v>
      </c>
    </row>
    <row r="155" spans="1:18">
      <c r="A155" s="11">
        <v>66</v>
      </c>
      <c r="B155" s="11" t="s">
        <v>164</v>
      </c>
      <c r="C155" s="109">
        <v>2</v>
      </c>
      <c r="D155" s="109">
        <v>2</v>
      </c>
      <c r="E155" s="100">
        <f t="shared" si="69"/>
        <v>15.44</v>
      </c>
      <c r="F155" s="100">
        <f t="shared" si="70"/>
        <v>8</v>
      </c>
      <c r="G155" s="100">
        <f t="shared" si="71"/>
        <v>18</v>
      </c>
      <c r="H155" s="100">
        <f t="shared" si="72"/>
        <v>6</v>
      </c>
      <c r="I155" s="100">
        <f t="shared" si="73"/>
        <v>2</v>
      </c>
      <c r="J155" s="100">
        <f t="shared" si="74"/>
        <v>2.2000000000000002</v>
      </c>
      <c r="K155" s="100">
        <f t="shared" si="75"/>
        <v>6.64</v>
      </c>
      <c r="L155" s="100">
        <f t="shared" si="76"/>
        <v>3.8</v>
      </c>
      <c r="M155" s="110"/>
      <c r="N155" s="102"/>
      <c r="O155" s="103"/>
      <c r="P155" s="102">
        <v>63.3</v>
      </c>
      <c r="Q155" s="104">
        <f t="shared" si="77"/>
        <v>63.3</v>
      </c>
      <c r="R155" s="104">
        <f t="shared" si="78"/>
        <v>0</v>
      </c>
    </row>
    <row r="156" spans="1:18">
      <c r="A156" s="11">
        <v>67</v>
      </c>
      <c r="B156" s="11" t="s">
        <v>165</v>
      </c>
      <c r="C156" s="109">
        <v>2</v>
      </c>
      <c r="D156" s="109">
        <v>2</v>
      </c>
      <c r="E156" s="100">
        <f t="shared" si="69"/>
        <v>15.44</v>
      </c>
      <c r="F156" s="100">
        <f t="shared" si="70"/>
        <v>8</v>
      </c>
      <c r="G156" s="100">
        <f t="shared" si="71"/>
        <v>18</v>
      </c>
      <c r="H156" s="100">
        <f t="shared" si="72"/>
        <v>6</v>
      </c>
      <c r="I156" s="100">
        <f t="shared" si="73"/>
        <v>2</v>
      </c>
      <c r="J156" s="100">
        <f t="shared" si="74"/>
        <v>2.2000000000000002</v>
      </c>
      <c r="K156" s="100">
        <f t="shared" si="75"/>
        <v>6.64</v>
      </c>
      <c r="L156" s="100">
        <f t="shared" si="76"/>
        <v>3.8</v>
      </c>
      <c r="M156" s="110"/>
      <c r="N156" s="102"/>
      <c r="O156" s="103"/>
      <c r="P156" s="102">
        <v>67.400000000000006</v>
      </c>
      <c r="Q156" s="104">
        <f t="shared" si="77"/>
        <v>67.400000000000006</v>
      </c>
      <c r="R156" s="104">
        <f t="shared" si="78"/>
        <v>0</v>
      </c>
    </row>
    <row r="157" spans="1:18">
      <c r="A157" s="11">
        <v>68</v>
      </c>
      <c r="B157" s="11" t="s">
        <v>168</v>
      </c>
      <c r="C157" s="109">
        <v>3</v>
      </c>
      <c r="D157" s="109">
        <v>2</v>
      </c>
      <c r="E157" s="100">
        <f t="shared" si="69"/>
        <v>23.16</v>
      </c>
      <c r="F157" s="100">
        <f t="shared" si="70"/>
        <v>8</v>
      </c>
      <c r="G157" s="100">
        <f t="shared" si="71"/>
        <v>27</v>
      </c>
      <c r="H157" s="100">
        <f t="shared" si="72"/>
        <v>8</v>
      </c>
      <c r="I157" s="100">
        <f t="shared" si="73"/>
        <v>3</v>
      </c>
      <c r="J157" s="100">
        <f t="shared" si="74"/>
        <v>3.3000000000000003</v>
      </c>
      <c r="K157" s="100">
        <f t="shared" si="75"/>
        <v>9.9599999999999991</v>
      </c>
      <c r="L157" s="100">
        <f t="shared" si="76"/>
        <v>5.6999999999999993</v>
      </c>
      <c r="M157" s="110"/>
      <c r="N157" s="102"/>
      <c r="O157" s="103"/>
      <c r="P157" s="102">
        <v>99.5</v>
      </c>
      <c r="Q157" s="104">
        <f t="shared" si="77"/>
        <v>66.333333333333329</v>
      </c>
      <c r="R157" s="104">
        <f t="shared" si="78"/>
        <v>33.166666666666671</v>
      </c>
    </row>
    <row r="158" spans="1:18">
      <c r="A158" s="11">
        <v>69</v>
      </c>
      <c r="B158" s="11" t="s">
        <v>169</v>
      </c>
      <c r="C158" s="109">
        <v>3</v>
      </c>
      <c r="D158" s="109">
        <v>2</v>
      </c>
      <c r="E158" s="100">
        <f t="shared" si="69"/>
        <v>23.16</v>
      </c>
      <c r="F158" s="100">
        <f t="shared" si="70"/>
        <v>8</v>
      </c>
      <c r="G158" s="100">
        <f t="shared" si="71"/>
        <v>27</v>
      </c>
      <c r="H158" s="100">
        <f t="shared" si="72"/>
        <v>8</v>
      </c>
      <c r="I158" s="100">
        <f t="shared" si="73"/>
        <v>3</v>
      </c>
      <c r="J158" s="100">
        <f t="shared" si="74"/>
        <v>3.3000000000000003</v>
      </c>
      <c r="K158" s="100">
        <f t="shared" si="75"/>
        <v>9.9599999999999991</v>
      </c>
      <c r="L158" s="100">
        <f t="shared" si="76"/>
        <v>5.6999999999999993</v>
      </c>
      <c r="M158" s="110"/>
      <c r="N158" s="102"/>
      <c r="O158" s="103"/>
      <c r="P158" s="102">
        <v>99</v>
      </c>
      <c r="Q158" s="104">
        <f t="shared" si="77"/>
        <v>66</v>
      </c>
      <c r="R158" s="104">
        <f t="shared" si="78"/>
        <v>33</v>
      </c>
    </row>
    <row r="159" spans="1:18">
      <c r="A159" s="11">
        <v>70</v>
      </c>
      <c r="B159" s="11" t="s">
        <v>170</v>
      </c>
      <c r="C159" s="109">
        <v>3</v>
      </c>
      <c r="D159" s="109">
        <v>2</v>
      </c>
      <c r="E159" s="100">
        <f t="shared" si="69"/>
        <v>23.16</v>
      </c>
      <c r="F159" s="100">
        <f t="shared" si="70"/>
        <v>8</v>
      </c>
      <c r="G159" s="100">
        <f t="shared" si="71"/>
        <v>27</v>
      </c>
      <c r="H159" s="100">
        <f t="shared" si="72"/>
        <v>8</v>
      </c>
      <c r="I159" s="100">
        <f t="shared" si="73"/>
        <v>3</v>
      </c>
      <c r="J159" s="100">
        <f t="shared" si="74"/>
        <v>3.3000000000000003</v>
      </c>
      <c r="K159" s="100">
        <f t="shared" si="75"/>
        <v>9.9599999999999991</v>
      </c>
      <c r="L159" s="100">
        <f t="shared" si="76"/>
        <v>5.6999999999999993</v>
      </c>
      <c r="M159" s="110"/>
      <c r="N159" s="102"/>
      <c r="O159" s="103"/>
      <c r="P159" s="102">
        <v>96.5</v>
      </c>
      <c r="Q159" s="104">
        <f t="shared" si="77"/>
        <v>64.333333333333329</v>
      </c>
      <c r="R159" s="104">
        <f t="shared" si="78"/>
        <v>32.166666666666671</v>
      </c>
    </row>
    <row r="160" spans="1:18">
      <c r="A160" s="11">
        <v>71</v>
      </c>
      <c r="B160" s="11" t="s">
        <v>166</v>
      </c>
      <c r="C160" s="11">
        <v>5</v>
      </c>
      <c r="D160" s="11">
        <v>4</v>
      </c>
      <c r="E160" s="104">
        <f t="shared" si="69"/>
        <v>77.2</v>
      </c>
      <c r="F160" s="104">
        <f t="shared" si="70"/>
        <v>16</v>
      </c>
      <c r="G160" s="104">
        <f t="shared" si="71"/>
        <v>90</v>
      </c>
      <c r="H160" s="104">
        <f t="shared" si="72"/>
        <v>24</v>
      </c>
      <c r="I160" s="104">
        <f t="shared" si="73"/>
        <v>10</v>
      </c>
      <c r="J160" s="104">
        <f t="shared" si="74"/>
        <v>11</v>
      </c>
      <c r="K160" s="104">
        <f t="shared" si="75"/>
        <v>33.199999999999996</v>
      </c>
      <c r="L160" s="104">
        <f t="shared" si="76"/>
        <v>19</v>
      </c>
      <c r="M160" s="104"/>
      <c r="N160" s="104"/>
      <c r="O160" s="104"/>
      <c r="P160" s="100">
        <v>246.3</v>
      </c>
      <c r="Q160" s="104">
        <f t="shared" si="77"/>
        <v>98.52000000000001</v>
      </c>
      <c r="R160" s="104">
        <f t="shared" si="78"/>
        <v>147.78</v>
      </c>
    </row>
    <row r="161" spans="1:18">
      <c r="A161" s="11">
        <v>72</v>
      </c>
      <c r="B161" s="11" t="s">
        <v>167</v>
      </c>
      <c r="C161" s="11">
        <v>5</v>
      </c>
      <c r="D161" s="11">
        <v>2</v>
      </c>
      <c r="E161" s="104">
        <f t="shared" si="69"/>
        <v>38.6</v>
      </c>
      <c r="F161" s="104">
        <f t="shared" si="70"/>
        <v>8</v>
      </c>
      <c r="G161" s="104">
        <f t="shared" si="71"/>
        <v>45</v>
      </c>
      <c r="H161" s="104">
        <f t="shared" si="72"/>
        <v>12</v>
      </c>
      <c r="I161" s="104">
        <f t="shared" si="73"/>
        <v>5</v>
      </c>
      <c r="J161" s="104">
        <f t="shared" si="74"/>
        <v>5.5</v>
      </c>
      <c r="K161" s="104">
        <f t="shared" si="75"/>
        <v>16.599999999999998</v>
      </c>
      <c r="L161" s="104">
        <f t="shared" si="76"/>
        <v>9.5</v>
      </c>
      <c r="M161" s="104"/>
      <c r="N161" s="104"/>
      <c r="O161" s="104"/>
      <c r="P161" s="100">
        <v>124.2</v>
      </c>
      <c r="Q161" s="104">
        <f t="shared" si="77"/>
        <v>49.68</v>
      </c>
      <c r="R161" s="104">
        <f t="shared" si="78"/>
        <v>74.52000000000001</v>
      </c>
    </row>
    <row r="162" spans="1:18">
      <c r="A162" s="11">
        <v>73</v>
      </c>
      <c r="B162" s="11" t="s">
        <v>171</v>
      </c>
      <c r="C162" s="11">
        <v>5</v>
      </c>
      <c r="D162" s="11">
        <v>2</v>
      </c>
      <c r="E162" s="104">
        <f t="shared" si="69"/>
        <v>38.6</v>
      </c>
      <c r="F162" s="104">
        <f t="shared" si="70"/>
        <v>8</v>
      </c>
      <c r="G162" s="104">
        <f t="shared" si="71"/>
        <v>45</v>
      </c>
      <c r="H162" s="104">
        <f t="shared" si="72"/>
        <v>12</v>
      </c>
      <c r="I162" s="104">
        <f t="shared" si="73"/>
        <v>5</v>
      </c>
      <c r="J162" s="104">
        <f t="shared" si="74"/>
        <v>5.5</v>
      </c>
      <c r="K162" s="104">
        <f t="shared" si="75"/>
        <v>16.599999999999998</v>
      </c>
      <c r="L162" s="104">
        <f t="shared" si="76"/>
        <v>9.5</v>
      </c>
      <c r="M162" s="104"/>
      <c r="N162" s="104"/>
      <c r="O162" s="104"/>
      <c r="P162" s="100">
        <v>128.4</v>
      </c>
      <c r="Q162" s="104">
        <f t="shared" si="77"/>
        <v>51.36</v>
      </c>
      <c r="R162" s="104">
        <f t="shared" si="78"/>
        <v>77.040000000000006</v>
      </c>
    </row>
    <row r="163" spans="1:18">
      <c r="A163" s="11">
        <v>74</v>
      </c>
      <c r="B163" s="11" t="s">
        <v>172</v>
      </c>
      <c r="C163" s="11">
        <v>5</v>
      </c>
      <c r="D163" s="11">
        <v>2</v>
      </c>
      <c r="E163" s="104">
        <f t="shared" si="69"/>
        <v>38.6</v>
      </c>
      <c r="F163" s="104">
        <f t="shared" si="70"/>
        <v>8</v>
      </c>
      <c r="G163" s="104">
        <f t="shared" si="71"/>
        <v>45</v>
      </c>
      <c r="H163" s="104">
        <f t="shared" si="72"/>
        <v>12</v>
      </c>
      <c r="I163" s="104">
        <f t="shared" si="73"/>
        <v>5</v>
      </c>
      <c r="J163" s="104">
        <f t="shared" si="74"/>
        <v>5.5</v>
      </c>
      <c r="K163" s="104">
        <f t="shared" si="75"/>
        <v>16.599999999999998</v>
      </c>
      <c r="L163" s="104">
        <f t="shared" si="76"/>
        <v>9.5</v>
      </c>
      <c r="M163" s="104"/>
      <c r="N163" s="104"/>
      <c r="O163" s="104"/>
      <c r="P163" s="100">
        <v>121.8</v>
      </c>
      <c r="Q163" s="104">
        <f t="shared" si="77"/>
        <v>48.72</v>
      </c>
      <c r="R163" s="104">
        <f t="shared" si="78"/>
        <v>73.08</v>
      </c>
    </row>
    <row r="164" spans="1:18">
      <c r="A164" s="11">
        <v>75</v>
      </c>
      <c r="B164" s="11" t="s">
        <v>173</v>
      </c>
      <c r="C164" s="11">
        <v>5</v>
      </c>
      <c r="D164" s="11">
        <v>2</v>
      </c>
      <c r="E164" s="104">
        <f t="shared" si="69"/>
        <v>38.6</v>
      </c>
      <c r="F164" s="104">
        <f t="shared" si="70"/>
        <v>8</v>
      </c>
      <c r="G164" s="104">
        <f t="shared" si="71"/>
        <v>45</v>
      </c>
      <c r="H164" s="104">
        <f t="shared" si="72"/>
        <v>12</v>
      </c>
      <c r="I164" s="104">
        <f t="shared" si="73"/>
        <v>5</v>
      </c>
      <c r="J164" s="104">
        <f t="shared" si="74"/>
        <v>5.5</v>
      </c>
      <c r="K164" s="104">
        <f t="shared" si="75"/>
        <v>16.599999999999998</v>
      </c>
      <c r="L164" s="104">
        <f t="shared" si="76"/>
        <v>9.5</v>
      </c>
      <c r="M164" s="104"/>
      <c r="N164" s="104"/>
      <c r="O164" s="104"/>
      <c r="P164" s="100">
        <v>123</v>
      </c>
      <c r="Q164" s="104">
        <f t="shared" si="77"/>
        <v>49.2</v>
      </c>
      <c r="R164" s="104">
        <f t="shared" si="78"/>
        <v>73.8</v>
      </c>
    </row>
    <row r="165" spans="1:18">
      <c r="A165" s="11">
        <v>76</v>
      </c>
      <c r="B165" s="11" t="s">
        <v>174</v>
      </c>
      <c r="C165" s="11">
        <v>5</v>
      </c>
      <c r="D165" s="11">
        <v>4</v>
      </c>
      <c r="E165" s="104">
        <f t="shared" si="69"/>
        <v>77.2</v>
      </c>
      <c r="F165" s="104">
        <f t="shared" si="70"/>
        <v>16</v>
      </c>
      <c r="G165" s="104">
        <f t="shared" si="71"/>
        <v>90</v>
      </c>
      <c r="H165" s="104">
        <f t="shared" si="72"/>
        <v>24</v>
      </c>
      <c r="I165" s="104">
        <f t="shared" si="73"/>
        <v>10</v>
      </c>
      <c r="J165" s="104">
        <f t="shared" si="74"/>
        <v>11</v>
      </c>
      <c r="K165" s="104">
        <f t="shared" si="75"/>
        <v>33.199999999999996</v>
      </c>
      <c r="L165" s="104">
        <f t="shared" si="76"/>
        <v>19</v>
      </c>
      <c r="M165" s="104"/>
      <c r="N165" s="104"/>
      <c r="O165" s="104"/>
      <c r="P165" s="100">
        <v>472</v>
      </c>
      <c r="Q165" s="104">
        <f t="shared" si="77"/>
        <v>188.8</v>
      </c>
      <c r="R165" s="104">
        <f t="shared" si="78"/>
        <v>283.2</v>
      </c>
    </row>
    <row r="166" spans="1:18">
      <c r="A166" s="11">
        <v>77</v>
      </c>
      <c r="B166" s="11" t="s">
        <v>175</v>
      </c>
      <c r="C166" s="11">
        <v>4</v>
      </c>
      <c r="D166" s="11">
        <v>3</v>
      </c>
      <c r="E166" s="104">
        <f t="shared" si="69"/>
        <v>46.32</v>
      </c>
      <c r="F166" s="104">
        <f t="shared" si="70"/>
        <v>12</v>
      </c>
      <c r="G166" s="104">
        <f t="shared" si="71"/>
        <v>54</v>
      </c>
      <c r="H166" s="104">
        <f t="shared" si="72"/>
        <v>15</v>
      </c>
      <c r="I166" s="104">
        <f t="shared" si="73"/>
        <v>6</v>
      </c>
      <c r="J166" s="104">
        <f t="shared" si="74"/>
        <v>6.6000000000000005</v>
      </c>
      <c r="K166" s="104">
        <f t="shared" si="75"/>
        <v>19.919999999999998</v>
      </c>
      <c r="L166" s="104">
        <f t="shared" si="76"/>
        <v>11.399999999999999</v>
      </c>
      <c r="M166" s="104"/>
      <c r="N166" s="104"/>
      <c r="O166" s="104"/>
      <c r="P166" s="100">
        <v>144.30000000000001</v>
      </c>
      <c r="Q166" s="104">
        <f t="shared" si="77"/>
        <v>72.150000000000006</v>
      </c>
      <c r="R166" s="104">
        <f t="shared" si="78"/>
        <v>72.150000000000006</v>
      </c>
    </row>
    <row r="167" spans="1:18">
      <c r="A167" s="11">
        <v>78</v>
      </c>
      <c r="B167" s="11" t="s">
        <v>176</v>
      </c>
      <c r="C167" s="11">
        <v>4</v>
      </c>
      <c r="D167" s="11">
        <v>4</v>
      </c>
      <c r="E167" s="104">
        <f t="shared" si="69"/>
        <v>61.76</v>
      </c>
      <c r="F167" s="104">
        <f t="shared" si="70"/>
        <v>16</v>
      </c>
      <c r="G167" s="104">
        <f t="shared" si="71"/>
        <v>72</v>
      </c>
      <c r="H167" s="104">
        <f t="shared" si="72"/>
        <v>20</v>
      </c>
      <c r="I167" s="104">
        <f t="shared" si="73"/>
        <v>8</v>
      </c>
      <c r="J167" s="104">
        <f t="shared" si="74"/>
        <v>8.8000000000000007</v>
      </c>
      <c r="K167" s="104">
        <f t="shared" si="75"/>
        <v>26.56</v>
      </c>
      <c r="L167" s="104">
        <f t="shared" si="76"/>
        <v>15.2</v>
      </c>
      <c r="M167" s="104"/>
      <c r="N167" s="104"/>
      <c r="O167" s="104"/>
      <c r="P167" s="100">
        <v>99.3</v>
      </c>
      <c r="Q167" s="104">
        <f t="shared" si="77"/>
        <v>49.65</v>
      </c>
      <c r="R167" s="104">
        <f t="shared" si="78"/>
        <v>49.65</v>
      </c>
    </row>
    <row r="168" spans="1:18">
      <c r="A168" s="11">
        <v>79</v>
      </c>
      <c r="B168" s="11" t="s">
        <v>177</v>
      </c>
      <c r="C168" s="11">
        <v>5</v>
      </c>
      <c r="D168" s="11">
        <v>4</v>
      </c>
      <c r="E168" s="104">
        <f t="shared" si="69"/>
        <v>77.2</v>
      </c>
      <c r="F168" s="104">
        <f t="shared" si="70"/>
        <v>16</v>
      </c>
      <c r="G168" s="104">
        <f t="shared" si="71"/>
        <v>90</v>
      </c>
      <c r="H168" s="104">
        <f t="shared" si="72"/>
        <v>24</v>
      </c>
      <c r="I168" s="104">
        <f t="shared" si="73"/>
        <v>10</v>
      </c>
      <c r="J168" s="104">
        <f t="shared" si="74"/>
        <v>11</v>
      </c>
      <c r="K168" s="104">
        <f t="shared" si="75"/>
        <v>33.199999999999996</v>
      </c>
      <c r="L168" s="104">
        <f t="shared" si="76"/>
        <v>19</v>
      </c>
      <c r="M168" s="104"/>
      <c r="N168" s="104"/>
      <c r="O168" s="104"/>
      <c r="P168" s="100">
        <v>277</v>
      </c>
      <c r="Q168" s="104">
        <f t="shared" si="77"/>
        <v>110.8</v>
      </c>
      <c r="R168" s="104">
        <f t="shared" si="78"/>
        <v>166.2</v>
      </c>
    </row>
    <row r="169" spans="1:18">
      <c r="A169" s="11">
        <v>80</v>
      </c>
      <c r="B169" s="11" t="s">
        <v>178</v>
      </c>
      <c r="C169" s="11">
        <v>4</v>
      </c>
      <c r="D169" s="11">
        <v>3</v>
      </c>
      <c r="E169" s="104">
        <f t="shared" si="69"/>
        <v>46.32</v>
      </c>
      <c r="F169" s="104">
        <f t="shared" si="70"/>
        <v>12</v>
      </c>
      <c r="G169" s="104">
        <f t="shared" si="71"/>
        <v>54</v>
      </c>
      <c r="H169" s="104">
        <f t="shared" si="72"/>
        <v>15</v>
      </c>
      <c r="I169" s="104">
        <f t="shared" si="73"/>
        <v>6</v>
      </c>
      <c r="J169" s="104">
        <f t="shared" si="74"/>
        <v>6.6000000000000005</v>
      </c>
      <c r="K169" s="104">
        <f t="shared" si="75"/>
        <v>19.919999999999998</v>
      </c>
      <c r="L169" s="104">
        <f t="shared" si="76"/>
        <v>11.399999999999999</v>
      </c>
      <c r="M169" s="104"/>
      <c r="N169" s="104"/>
      <c r="O169" s="104"/>
      <c r="P169" s="100">
        <v>328.7</v>
      </c>
      <c r="Q169" s="104">
        <f t="shared" si="77"/>
        <v>164.35</v>
      </c>
      <c r="R169" s="104">
        <f t="shared" si="78"/>
        <v>164.35</v>
      </c>
    </row>
    <row r="170" spans="1:18">
      <c r="A170" s="11">
        <v>81</v>
      </c>
      <c r="B170" s="11" t="s">
        <v>179</v>
      </c>
      <c r="C170" s="11">
        <v>5</v>
      </c>
      <c r="D170" s="11">
        <v>3</v>
      </c>
      <c r="E170" s="104">
        <f t="shared" si="69"/>
        <v>57.900000000000006</v>
      </c>
      <c r="F170" s="104">
        <f t="shared" si="70"/>
        <v>12</v>
      </c>
      <c r="G170" s="104">
        <f t="shared" si="71"/>
        <v>67.5</v>
      </c>
      <c r="H170" s="104">
        <f t="shared" si="72"/>
        <v>18</v>
      </c>
      <c r="I170" s="104">
        <f t="shared" si="73"/>
        <v>7.5</v>
      </c>
      <c r="J170" s="104">
        <f t="shared" si="74"/>
        <v>8.25</v>
      </c>
      <c r="K170" s="104">
        <f t="shared" si="75"/>
        <v>24.9</v>
      </c>
      <c r="L170" s="104">
        <f t="shared" si="76"/>
        <v>14.25</v>
      </c>
      <c r="M170" s="104"/>
      <c r="N170" s="104"/>
      <c r="O170" s="104"/>
      <c r="P170" s="100">
        <v>388.2</v>
      </c>
      <c r="Q170" s="104">
        <f t="shared" si="77"/>
        <v>155.28</v>
      </c>
      <c r="R170" s="104">
        <f t="shared" si="78"/>
        <v>232.92</v>
      </c>
    </row>
    <row r="171" spans="1:18">
      <c r="A171" s="11">
        <v>82</v>
      </c>
      <c r="B171" s="11" t="s">
        <v>180</v>
      </c>
      <c r="C171" s="11">
        <v>5</v>
      </c>
      <c r="D171" s="11">
        <v>4</v>
      </c>
      <c r="E171" s="104">
        <f t="shared" si="69"/>
        <v>77.2</v>
      </c>
      <c r="F171" s="104">
        <f t="shared" si="70"/>
        <v>16</v>
      </c>
      <c r="G171" s="104">
        <f t="shared" si="71"/>
        <v>90</v>
      </c>
      <c r="H171" s="104">
        <f t="shared" si="72"/>
        <v>24</v>
      </c>
      <c r="I171" s="104">
        <f t="shared" si="73"/>
        <v>10</v>
      </c>
      <c r="J171" s="104">
        <f t="shared" si="74"/>
        <v>11</v>
      </c>
      <c r="K171" s="104">
        <f t="shared" si="75"/>
        <v>33.199999999999996</v>
      </c>
      <c r="L171" s="104">
        <f t="shared" si="76"/>
        <v>19</v>
      </c>
      <c r="M171" s="104"/>
      <c r="N171" s="104"/>
      <c r="O171" s="104"/>
      <c r="P171" s="100">
        <v>322.10000000000002</v>
      </c>
      <c r="Q171" s="104">
        <f t="shared" si="77"/>
        <v>128.84</v>
      </c>
      <c r="R171" s="104">
        <f t="shared" si="78"/>
        <v>193.26000000000002</v>
      </c>
    </row>
    <row r="172" spans="1:18">
      <c r="A172" s="11">
        <v>83</v>
      </c>
      <c r="B172" s="11" t="s">
        <v>181</v>
      </c>
      <c r="C172" s="11">
        <v>5</v>
      </c>
      <c r="D172" s="11">
        <v>4</v>
      </c>
      <c r="E172" s="104">
        <f t="shared" si="69"/>
        <v>77.2</v>
      </c>
      <c r="F172" s="104">
        <f t="shared" si="70"/>
        <v>16</v>
      </c>
      <c r="G172" s="104">
        <f t="shared" si="71"/>
        <v>90</v>
      </c>
      <c r="H172" s="104">
        <f t="shared" si="72"/>
        <v>24</v>
      </c>
      <c r="I172" s="104">
        <f t="shared" si="73"/>
        <v>10</v>
      </c>
      <c r="J172" s="104">
        <f t="shared" si="74"/>
        <v>11</v>
      </c>
      <c r="K172" s="104">
        <f t="shared" si="75"/>
        <v>33.199999999999996</v>
      </c>
      <c r="L172" s="104">
        <f t="shared" si="76"/>
        <v>19</v>
      </c>
      <c r="M172" s="104"/>
      <c r="N172" s="104"/>
      <c r="O172" s="104"/>
      <c r="P172" s="100">
        <v>449.1</v>
      </c>
      <c r="Q172" s="104">
        <f t="shared" si="77"/>
        <v>179.64000000000001</v>
      </c>
      <c r="R172" s="104">
        <f t="shared" si="78"/>
        <v>269.46000000000004</v>
      </c>
    </row>
    <row r="173" spans="1:18">
      <c r="A173" s="11">
        <v>84</v>
      </c>
      <c r="B173" s="11" t="s">
        <v>182</v>
      </c>
      <c r="C173" s="11">
        <v>5</v>
      </c>
      <c r="D173" s="11">
        <v>6</v>
      </c>
      <c r="E173" s="104">
        <f t="shared" si="69"/>
        <v>115.80000000000001</v>
      </c>
      <c r="F173" s="104">
        <f t="shared" si="70"/>
        <v>24</v>
      </c>
      <c r="G173" s="104">
        <f t="shared" si="71"/>
        <v>135</v>
      </c>
      <c r="H173" s="104">
        <f t="shared" si="72"/>
        <v>36</v>
      </c>
      <c r="I173" s="104">
        <f t="shared" si="73"/>
        <v>15</v>
      </c>
      <c r="J173" s="104">
        <f t="shared" si="74"/>
        <v>16.5</v>
      </c>
      <c r="K173" s="104">
        <f t="shared" si="75"/>
        <v>49.8</v>
      </c>
      <c r="L173" s="104">
        <f t="shared" si="76"/>
        <v>28.5</v>
      </c>
      <c r="M173" s="104"/>
      <c r="N173" s="104"/>
      <c r="O173" s="104"/>
      <c r="P173" s="100">
        <v>470.5</v>
      </c>
      <c r="Q173" s="104">
        <f t="shared" si="77"/>
        <v>188.2</v>
      </c>
      <c r="R173" s="104">
        <f t="shared" si="78"/>
        <v>282.3</v>
      </c>
    </row>
    <row r="174" spans="1:18">
      <c r="A174" s="11">
        <v>85</v>
      </c>
      <c r="B174" s="11" t="s">
        <v>183</v>
      </c>
      <c r="C174" s="11">
        <v>5</v>
      </c>
      <c r="D174" s="11">
        <v>6</v>
      </c>
      <c r="E174" s="104">
        <f t="shared" si="69"/>
        <v>115.80000000000001</v>
      </c>
      <c r="F174" s="104">
        <f t="shared" si="70"/>
        <v>24</v>
      </c>
      <c r="G174" s="104">
        <f t="shared" si="71"/>
        <v>135</v>
      </c>
      <c r="H174" s="104">
        <f t="shared" si="72"/>
        <v>36</v>
      </c>
      <c r="I174" s="104">
        <f t="shared" si="73"/>
        <v>15</v>
      </c>
      <c r="J174" s="104">
        <f t="shared" si="74"/>
        <v>16.5</v>
      </c>
      <c r="K174" s="104">
        <f t="shared" si="75"/>
        <v>49.8</v>
      </c>
      <c r="L174" s="104">
        <f t="shared" si="76"/>
        <v>28.5</v>
      </c>
      <c r="M174" s="104"/>
      <c r="N174" s="104"/>
      <c r="O174" s="104"/>
      <c r="P174" s="100">
        <v>460</v>
      </c>
      <c r="Q174" s="104">
        <f t="shared" si="77"/>
        <v>184</v>
      </c>
      <c r="R174" s="104">
        <f t="shared" si="78"/>
        <v>276</v>
      </c>
    </row>
    <row r="175" spans="1:18">
      <c r="A175" s="11">
        <v>86</v>
      </c>
      <c r="B175" s="11" t="s">
        <v>184</v>
      </c>
      <c r="C175" s="11">
        <v>5</v>
      </c>
      <c r="D175" s="11">
        <v>4</v>
      </c>
      <c r="E175" s="104">
        <f t="shared" si="69"/>
        <v>77.2</v>
      </c>
      <c r="F175" s="104">
        <f t="shared" si="70"/>
        <v>16</v>
      </c>
      <c r="G175" s="104">
        <f t="shared" si="71"/>
        <v>90</v>
      </c>
      <c r="H175" s="104">
        <f t="shared" si="72"/>
        <v>24</v>
      </c>
      <c r="I175" s="104">
        <f t="shared" si="73"/>
        <v>10</v>
      </c>
      <c r="J175" s="104">
        <f t="shared" si="74"/>
        <v>11</v>
      </c>
      <c r="K175" s="104">
        <f t="shared" si="75"/>
        <v>33.199999999999996</v>
      </c>
      <c r="L175" s="104">
        <f t="shared" si="76"/>
        <v>19</v>
      </c>
      <c r="M175" s="104"/>
      <c r="N175" s="104"/>
      <c r="O175" s="104"/>
      <c r="P175" s="100">
        <v>301</v>
      </c>
      <c r="Q175" s="104">
        <f t="shared" si="77"/>
        <v>120.4</v>
      </c>
      <c r="R175" s="104">
        <f t="shared" si="78"/>
        <v>180.6</v>
      </c>
    </row>
    <row r="176" spans="1:18">
      <c r="A176" s="11">
        <v>87</v>
      </c>
      <c r="B176" s="11" t="s">
        <v>185</v>
      </c>
      <c r="C176" s="11">
        <v>5</v>
      </c>
      <c r="D176" s="11">
        <v>4</v>
      </c>
      <c r="E176" s="104">
        <f t="shared" si="69"/>
        <v>77.2</v>
      </c>
      <c r="F176" s="104">
        <f t="shared" si="70"/>
        <v>16</v>
      </c>
      <c r="G176" s="104">
        <f t="shared" si="71"/>
        <v>90</v>
      </c>
      <c r="H176" s="104">
        <f t="shared" si="72"/>
        <v>24</v>
      </c>
      <c r="I176" s="104">
        <f t="shared" si="73"/>
        <v>10</v>
      </c>
      <c r="J176" s="104">
        <f t="shared" si="74"/>
        <v>11</v>
      </c>
      <c r="K176" s="104">
        <f t="shared" si="75"/>
        <v>33.199999999999996</v>
      </c>
      <c r="L176" s="104">
        <f t="shared" si="76"/>
        <v>19</v>
      </c>
      <c r="M176" s="104"/>
      <c r="N176" s="104"/>
      <c r="O176" s="104"/>
      <c r="P176" s="100">
        <v>278</v>
      </c>
      <c r="Q176" s="104">
        <f t="shared" si="77"/>
        <v>111.2</v>
      </c>
      <c r="R176" s="104">
        <f t="shared" si="78"/>
        <v>166.8</v>
      </c>
    </row>
    <row r="177" spans="1:18">
      <c r="A177" s="11">
        <v>88</v>
      </c>
      <c r="B177" s="11" t="s">
        <v>186</v>
      </c>
      <c r="C177" s="11">
        <v>4</v>
      </c>
      <c r="D177" s="11">
        <v>2</v>
      </c>
      <c r="E177" s="104">
        <f t="shared" si="69"/>
        <v>30.88</v>
      </c>
      <c r="F177" s="104">
        <f t="shared" si="70"/>
        <v>8</v>
      </c>
      <c r="G177" s="104">
        <f t="shared" si="71"/>
        <v>36</v>
      </c>
      <c r="H177" s="104">
        <f t="shared" si="72"/>
        <v>10</v>
      </c>
      <c r="I177" s="104">
        <f t="shared" si="73"/>
        <v>4</v>
      </c>
      <c r="J177" s="104">
        <f t="shared" si="74"/>
        <v>4.4000000000000004</v>
      </c>
      <c r="K177" s="104">
        <f t="shared" si="75"/>
        <v>13.28</v>
      </c>
      <c r="L177" s="104">
        <f t="shared" si="76"/>
        <v>7.6</v>
      </c>
      <c r="M177" s="104"/>
      <c r="N177" s="104"/>
      <c r="O177" s="104"/>
      <c r="P177" s="100">
        <v>114.8</v>
      </c>
      <c r="Q177" s="104">
        <f t="shared" si="77"/>
        <v>57.4</v>
      </c>
      <c r="R177" s="104">
        <f t="shared" si="78"/>
        <v>57.4</v>
      </c>
    </row>
    <row r="178" spans="1:18">
      <c r="A178" s="11">
        <v>89</v>
      </c>
      <c r="B178" s="11" t="s">
        <v>187</v>
      </c>
      <c r="C178" s="11">
        <v>4</v>
      </c>
      <c r="D178" s="11">
        <v>2</v>
      </c>
      <c r="E178" s="104">
        <f t="shared" si="69"/>
        <v>30.88</v>
      </c>
      <c r="F178" s="104">
        <f t="shared" si="70"/>
        <v>8</v>
      </c>
      <c r="G178" s="104">
        <f t="shared" si="71"/>
        <v>36</v>
      </c>
      <c r="H178" s="104">
        <f t="shared" si="72"/>
        <v>10</v>
      </c>
      <c r="I178" s="104">
        <f t="shared" si="73"/>
        <v>4</v>
      </c>
      <c r="J178" s="104">
        <f t="shared" si="74"/>
        <v>4.4000000000000004</v>
      </c>
      <c r="K178" s="104">
        <f t="shared" si="75"/>
        <v>13.28</v>
      </c>
      <c r="L178" s="104">
        <f t="shared" si="76"/>
        <v>7.6</v>
      </c>
      <c r="M178" s="104"/>
      <c r="N178" s="104"/>
      <c r="O178" s="104"/>
      <c r="P178" s="100">
        <v>93</v>
      </c>
      <c r="Q178" s="104">
        <f t="shared" si="77"/>
        <v>46.5</v>
      </c>
      <c r="R178" s="104">
        <f t="shared" si="78"/>
        <v>46.5</v>
      </c>
    </row>
    <row r="179" spans="1:18">
      <c r="A179" s="11">
        <v>90</v>
      </c>
      <c r="B179" s="11" t="s">
        <v>188</v>
      </c>
      <c r="C179" s="11">
        <v>4</v>
      </c>
      <c r="D179" s="11">
        <v>2</v>
      </c>
      <c r="E179" s="104">
        <f t="shared" si="69"/>
        <v>30.88</v>
      </c>
      <c r="F179" s="104">
        <f t="shared" si="70"/>
        <v>8</v>
      </c>
      <c r="G179" s="104">
        <f t="shared" si="71"/>
        <v>36</v>
      </c>
      <c r="H179" s="104">
        <f t="shared" si="72"/>
        <v>10</v>
      </c>
      <c r="I179" s="104">
        <f t="shared" si="73"/>
        <v>4</v>
      </c>
      <c r="J179" s="104">
        <f t="shared" si="74"/>
        <v>4.4000000000000004</v>
      </c>
      <c r="K179" s="104">
        <f t="shared" si="75"/>
        <v>13.28</v>
      </c>
      <c r="L179" s="104">
        <f t="shared" si="76"/>
        <v>7.6</v>
      </c>
      <c r="M179" s="104"/>
      <c r="N179" s="104"/>
      <c r="O179" s="104"/>
      <c r="P179" s="100">
        <v>98.4</v>
      </c>
      <c r="Q179" s="104">
        <f t="shared" si="77"/>
        <v>49.2</v>
      </c>
      <c r="R179" s="104">
        <f t="shared" si="78"/>
        <v>49.2</v>
      </c>
    </row>
    <row r="180" spans="1:18">
      <c r="A180" s="11">
        <v>91</v>
      </c>
      <c r="B180" s="11" t="s">
        <v>189</v>
      </c>
      <c r="C180" s="11">
        <v>4</v>
      </c>
      <c r="D180" s="11">
        <v>2</v>
      </c>
      <c r="E180" s="104">
        <f t="shared" si="69"/>
        <v>30.88</v>
      </c>
      <c r="F180" s="104">
        <f t="shared" si="70"/>
        <v>8</v>
      </c>
      <c r="G180" s="104">
        <f t="shared" si="71"/>
        <v>36</v>
      </c>
      <c r="H180" s="104">
        <f t="shared" si="72"/>
        <v>10</v>
      </c>
      <c r="I180" s="104">
        <f t="shared" si="73"/>
        <v>4</v>
      </c>
      <c r="J180" s="104">
        <f t="shared" si="74"/>
        <v>4.4000000000000004</v>
      </c>
      <c r="K180" s="104">
        <f t="shared" si="75"/>
        <v>13.28</v>
      </c>
      <c r="L180" s="104">
        <f t="shared" si="76"/>
        <v>7.6</v>
      </c>
      <c r="M180" s="104"/>
      <c r="N180" s="104"/>
      <c r="O180" s="104"/>
      <c r="P180" s="100">
        <v>97.1</v>
      </c>
      <c r="Q180" s="104">
        <f t="shared" si="77"/>
        <v>48.55</v>
      </c>
      <c r="R180" s="104">
        <f t="shared" si="78"/>
        <v>48.55</v>
      </c>
    </row>
    <row r="181" spans="1:18">
      <c r="A181" s="11">
        <v>92</v>
      </c>
      <c r="B181" s="11" t="s">
        <v>190</v>
      </c>
      <c r="C181" s="11">
        <v>4</v>
      </c>
      <c r="D181" s="11">
        <v>2</v>
      </c>
      <c r="E181" s="104">
        <f t="shared" si="69"/>
        <v>30.88</v>
      </c>
      <c r="F181" s="104">
        <f t="shared" si="70"/>
        <v>8</v>
      </c>
      <c r="G181" s="104">
        <f t="shared" si="71"/>
        <v>36</v>
      </c>
      <c r="H181" s="104">
        <f t="shared" si="72"/>
        <v>10</v>
      </c>
      <c r="I181" s="104">
        <f t="shared" si="73"/>
        <v>4</v>
      </c>
      <c r="J181" s="104">
        <f t="shared" si="74"/>
        <v>4.4000000000000004</v>
      </c>
      <c r="K181" s="104">
        <f t="shared" si="75"/>
        <v>13.28</v>
      </c>
      <c r="L181" s="104">
        <f t="shared" si="76"/>
        <v>7.6</v>
      </c>
      <c r="M181" s="104"/>
      <c r="N181" s="104"/>
      <c r="O181" s="104"/>
      <c r="P181" s="100">
        <v>94.2</v>
      </c>
      <c r="Q181" s="104">
        <f t="shared" si="77"/>
        <v>47.1</v>
      </c>
      <c r="R181" s="104">
        <f t="shared" si="78"/>
        <v>47.1</v>
      </c>
    </row>
    <row r="182" spans="1:18">
      <c r="A182" s="11">
        <v>93</v>
      </c>
      <c r="B182" s="11" t="s">
        <v>191</v>
      </c>
      <c r="C182" s="11">
        <v>4</v>
      </c>
      <c r="D182" s="11">
        <v>2</v>
      </c>
      <c r="E182" s="104">
        <f t="shared" si="69"/>
        <v>30.88</v>
      </c>
      <c r="F182" s="104">
        <f t="shared" si="70"/>
        <v>8</v>
      </c>
      <c r="G182" s="104">
        <f t="shared" si="71"/>
        <v>36</v>
      </c>
      <c r="H182" s="104">
        <f t="shared" si="72"/>
        <v>10</v>
      </c>
      <c r="I182" s="104">
        <f t="shared" si="73"/>
        <v>4</v>
      </c>
      <c r="J182" s="104">
        <f t="shared" si="74"/>
        <v>4.4000000000000004</v>
      </c>
      <c r="K182" s="104">
        <f t="shared" si="75"/>
        <v>13.28</v>
      </c>
      <c r="L182" s="104">
        <f t="shared" si="76"/>
        <v>7.6</v>
      </c>
      <c r="M182" s="104"/>
      <c r="N182" s="104"/>
      <c r="O182" s="104"/>
      <c r="P182" s="100">
        <v>97.8</v>
      </c>
      <c r="Q182" s="104">
        <f t="shared" si="77"/>
        <v>48.9</v>
      </c>
      <c r="R182" s="104">
        <f t="shared" si="78"/>
        <v>48.9</v>
      </c>
    </row>
    <row r="183" spans="1:18">
      <c r="A183" s="11">
        <v>94</v>
      </c>
      <c r="B183" s="11" t="s">
        <v>192</v>
      </c>
      <c r="C183" s="11">
        <v>5</v>
      </c>
      <c r="D183" s="11">
        <v>2</v>
      </c>
      <c r="E183" s="104">
        <f t="shared" si="69"/>
        <v>38.6</v>
      </c>
      <c r="F183" s="104">
        <f t="shared" si="70"/>
        <v>8</v>
      </c>
      <c r="G183" s="104">
        <f t="shared" si="71"/>
        <v>45</v>
      </c>
      <c r="H183" s="104">
        <f t="shared" si="72"/>
        <v>12</v>
      </c>
      <c r="I183" s="104">
        <f t="shared" si="73"/>
        <v>5</v>
      </c>
      <c r="J183" s="104">
        <f t="shared" si="74"/>
        <v>5.5</v>
      </c>
      <c r="K183" s="104">
        <f t="shared" si="75"/>
        <v>16.599999999999998</v>
      </c>
      <c r="L183" s="104">
        <f t="shared" si="76"/>
        <v>9.5</v>
      </c>
      <c r="M183" s="104"/>
      <c r="N183" s="104"/>
      <c r="O183" s="104"/>
      <c r="P183" s="100">
        <v>152</v>
      </c>
      <c r="Q183" s="104">
        <f t="shared" si="77"/>
        <v>60.8</v>
      </c>
      <c r="R183" s="104">
        <f t="shared" si="78"/>
        <v>91.2</v>
      </c>
    </row>
    <row r="184" spans="1:18">
      <c r="A184" s="11">
        <v>95</v>
      </c>
      <c r="B184" s="11" t="s">
        <v>193</v>
      </c>
      <c r="C184" s="11">
        <v>4</v>
      </c>
      <c r="D184" s="11">
        <v>2</v>
      </c>
      <c r="E184" s="104">
        <f t="shared" si="69"/>
        <v>30.88</v>
      </c>
      <c r="F184" s="104">
        <f t="shared" si="70"/>
        <v>8</v>
      </c>
      <c r="G184" s="104">
        <f t="shared" si="71"/>
        <v>36</v>
      </c>
      <c r="H184" s="104">
        <f t="shared" si="72"/>
        <v>10</v>
      </c>
      <c r="I184" s="104">
        <f t="shared" si="73"/>
        <v>4</v>
      </c>
      <c r="J184" s="104">
        <f t="shared" si="74"/>
        <v>4.4000000000000004</v>
      </c>
      <c r="K184" s="104">
        <f t="shared" si="75"/>
        <v>13.28</v>
      </c>
      <c r="L184" s="104">
        <f t="shared" si="76"/>
        <v>7.6</v>
      </c>
      <c r="M184" s="104"/>
      <c r="N184" s="104"/>
      <c r="O184" s="104"/>
      <c r="P184" s="100">
        <v>100</v>
      </c>
      <c r="Q184" s="104">
        <f t="shared" si="77"/>
        <v>50</v>
      </c>
      <c r="R184" s="104">
        <f t="shared" si="78"/>
        <v>50</v>
      </c>
    </row>
    <row r="185" spans="1:18">
      <c r="A185" s="11">
        <v>96</v>
      </c>
      <c r="B185" s="11" t="s">
        <v>194</v>
      </c>
      <c r="C185" s="11">
        <v>4</v>
      </c>
      <c r="D185" s="11">
        <v>2</v>
      </c>
      <c r="E185" s="104">
        <f t="shared" si="69"/>
        <v>30.88</v>
      </c>
      <c r="F185" s="104">
        <f t="shared" si="70"/>
        <v>8</v>
      </c>
      <c r="G185" s="104">
        <f t="shared" si="71"/>
        <v>36</v>
      </c>
      <c r="H185" s="104">
        <f t="shared" si="72"/>
        <v>10</v>
      </c>
      <c r="I185" s="104">
        <f t="shared" si="73"/>
        <v>4</v>
      </c>
      <c r="J185" s="104">
        <f t="shared" si="74"/>
        <v>4.4000000000000004</v>
      </c>
      <c r="K185" s="104">
        <f t="shared" si="75"/>
        <v>13.28</v>
      </c>
      <c r="L185" s="104">
        <f t="shared" si="76"/>
        <v>7.6</v>
      </c>
      <c r="M185" s="104"/>
      <c r="N185" s="104"/>
      <c r="O185" s="104"/>
      <c r="P185" s="100">
        <v>100.1</v>
      </c>
      <c r="Q185" s="104">
        <f t="shared" si="77"/>
        <v>50.05</v>
      </c>
      <c r="R185" s="104">
        <f t="shared" si="78"/>
        <v>50.05</v>
      </c>
    </row>
    <row r="186" spans="1:18">
      <c r="A186" s="11">
        <v>97</v>
      </c>
      <c r="B186" s="11" t="s">
        <v>195</v>
      </c>
      <c r="C186" s="11">
        <v>5</v>
      </c>
      <c r="D186" s="11">
        <v>3</v>
      </c>
      <c r="E186" s="104">
        <f t="shared" ref="E186:E215" si="79">3.86*C186*D186</f>
        <v>57.900000000000006</v>
      </c>
      <c r="F186" s="104">
        <f t="shared" ref="F186:F215" si="80">4*D186</f>
        <v>12</v>
      </c>
      <c r="G186" s="104">
        <f t="shared" ref="G186:G215" si="81">4.5*C186*D186</f>
        <v>67.5</v>
      </c>
      <c r="H186" s="104">
        <f t="shared" ref="H186:H215" si="82">1*C186*D186+1*D186</f>
        <v>18</v>
      </c>
      <c r="I186" s="104">
        <f t="shared" ref="I186:I215" si="83">0.5*C186*D186</f>
        <v>7.5</v>
      </c>
      <c r="J186" s="104">
        <f t="shared" ref="J186:J215" si="84">0.55*C186*D186</f>
        <v>8.25</v>
      </c>
      <c r="K186" s="104">
        <f t="shared" ref="K186:K215" si="85">1.66*C186*D186</f>
        <v>24.9</v>
      </c>
      <c r="L186" s="104">
        <f t="shared" ref="L186:L215" si="86">0.95*C186*D186</f>
        <v>14.25</v>
      </c>
      <c r="M186" s="104"/>
      <c r="N186" s="104"/>
      <c r="O186" s="104"/>
      <c r="P186" s="100">
        <v>403.5</v>
      </c>
      <c r="Q186" s="104">
        <f t="shared" ref="Q186:Q215" si="87">P186/C186*2</f>
        <v>161.4</v>
      </c>
      <c r="R186" s="104">
        <f t="shared" ref="R186:R215" si="88">P186-Q186</f>
        <v>242.1</v>
      </c>
    </row>
    <row r="187" spans="1:18">
      <c r="A187" s="11">
        <v>98</v>
      </c>
      <c r="B187" s="11" t="s">
        <v>196</v>
      </c>
      <c r="C187" s="11">
        <v>4</v>
      </c>
      <c r="D187" s="11">
        <v>2</v>
      </c>
      <c r="E187" s="104">
        <f t="shared" si="79"/>
        <v>30.88</v>
      </c>
      <c r="F187" s="104">
        <f t="shared" si="80"/>
        <v>8</v>
      </c>
      <c r="G187" s="104">
        <f t="shared" si="81"/>
        <v>36</v>
      </c>
      <c r="H187" s="104">
        <f t="shared" si="82"/>
        <v>10</v>
      </c>
      <c r="I187" s="104">
        <f t="shared" si="83"/>
        <v>4</v>
      </c>
      <c r="J187" s="104">
        <f t="shared" si="84"/>
        <v>4.4000000000000004</v>
      </c>
      <c r="K187" s="104">
        <f t="shared" si="85"/>
        <v>13.28</v>
      </c>
      <c r="L187" s="104">
        <f t="shared" si="86"/>
        <v>7.6</v>
      </c>
      <c r="M187" s="104"/>
      <c r="N187" s="104"/>
      <c r="O187" s="104"/>
      <c r="P187" s="100">
        <v>97.6</v>
      </c>
      <c r="Q187" s="104">
        <f t="shared" si="87"/>
        <v>48.8</v>
      </c>
      <c r="R187" s="104">
        <f t="shared" si="88"/>
        <v>48.8</v>
      </c>
    </row>
    <row r="188" spans="1:18">
      <c r="A188" s="11">
        <v>99</v>
      </c>
      <c r="B188" s="11" t="s">
        <v>197</v>
      </c>
      <c r="C188" s="11">
        <v>4</v>
      </c>
      <c r="D188" s="11">
        <v>2</v>
      </c>
      <c r="E188" s="104">
        <f t="shared" si="79"/>
        <v>30.88</v>
      </c>
      <c r="F188" s="104">
        <f t="shared" si="80"/>
        <v>8</v>
      </c>
      <c r="G188" s="104">
        <f t="shared" si="81"/>
        <v>36</v>
      </c>
      <c r="H188" s="104">
        <f t="shared" si="82"/>
        <v>10</v>
      </c>
      <c r="I188" s="104">
        <f t="shared" si="83"/>
        <v>4</v>
      </c>
      <c r="J188" s="104">
        <f t="shared" si="84"/>
        <v>4.4000000000000004</v>
      </c>
      <c r="K188" s="104">
        <f t="shared" si="85"/>
        <v>13.28</v>
      </c>
      <c r="L188" s="104">
        <f t="shared" si="86"/>
        <v>7.6</v>
      </c>
      <c r="M188" s="104"/>
      <c r="N188" s="104"/>
      <c r="O188" s="104"/>
      <c r="P188" s="100">
        <v>99.1</v>
      </c>
      <c r="Q188" s="104">
        <f t="shared" si="87"/>
        <v>49.55</v>
      </c>
      <c r="R188" s="104">
        <f t="shared" si="88"/>
        <v>49.55</v>
      </c>
    </row>
    <row r="189" spans="1:18">
      <c r="A189" s="11">
        <v>100</v>
      </c>
      <c r="B189" s="11" t="s">
        <v>198</v>
      </c>
      <c r="C189" s="11">
        <v>4</v>
      </c>
      <c r="D189" s="11">
        <v>2</v>
      </c>
      <c r="E189" s="104">
        <f t="shared" si="79"/>
        <v>30.88</v>
      </c>
      <c r="F189" s="104">
        <f t="shared" si="80"/>
        <v>8</v>
      </c>
      <c r="G189" s="104">
        <f t="shared" si="81"/>
        <v>36</v>
      </c>
      <c r="H189" s="104">
        <f t="shared" si="82"/>
        <v>10</v>
      </c>
      <c r="I189" s="104">
        <f t="shared" si="83"/>
        <v>4</v>
      </c>
      <c r="J189" s="104">
        <f t="shared" si="84"/>
        <v>4.4000000000000004</v>
      </c>
      <c r="K189" s="104">
        <f t="shared" si="85"/>
        <v>13.28</v>
      </c>
      <c r="L189" s="104">
        <f t="shared" si="86"/>
        <v>7.6</v>
      </c>
      <c r="M189" s="104"/>
      <c r="N189" s="104"/>
      <c r="O189" s="104"/>
      <c r="P189" s="100">
        <v>98.5</v>
      </c>
      <c r="Q189" s="104">
        <f t="shared" si="87"/>
        <v>49.25</v>
      </c>
      <c r="R189" s="104">
        <f t="shared" si="88"/>
        <v>49.25</v>
      </c>
    </row>
    <row r="190" spans="1:18">
      <c r="A190" s="11">
        <v>101</v>
      </c>
      <c r="B190" s="11" t="s">
        <v>199</v>
      </c>
      <c r="C190" s="11">
        <v>4</v>
      </c>
      <c r="D190" s="11">
        <v>2</v>
      </c>
      <c r="E190" s="104">
        <f t="shared" si="79"/>
        <v>30.88</v>
      </c>
      <c r="F190" s="104">
        <f t="shared" si="80"/>
        <v>8</v>
      </c>
      <c r="G190" s="104">
        <f t="shared" si="81"/>
        <v>36</v>
      </c>
      <c r="H190" s="104">
        <f t="shared" si="82"/>
        <v>10</v>
      </c>
      <c r="I190" s="104">
        <f t="shared" si="83"/>
        <v>4</v>
      </c>
      <c r="J190" s="104">
        <f t="shared" si="84"/>
        <v>4.4000000000000004</v>
      </c>
      <c r="K190" s="104">
        <f t="shared" si="85"/>
        <v>13.28</v>
      </c>
      <c r="L190" s="104">
        <f t="shared" si="86"/>
        <v>7.6</v>
      </c>
      <c r="M190" s="104"/>
      <c r="N190" s="104"/>
      <c r="O190" s="104"/>
      <c r="P190" s="100">
        <v>97.3</v>
      </c>
      <c r="Q190" s="104">
        <f t="shared" si="87"/>
        <v>48.65</v>
      </c>
      <c r="R190" s="104">
        <f t="shared" si="88"/>
        <v>48.65</v>
      </c>
    </row>
    <row r="191" spans="1:18">
      <c r="A191" s="11">
        <v>102</v>
      </c>
      <c r="B191" s="11" t="s">
        <v>200</v>
      </c>
      <c r="C191" s="11">
        <v>4</v>
      </c>
      <c r="D191" s="11">
        <v>2</v>
      </c>
      <c r="E191" s="104">
        <f t="shared" si="79"/>
        <v>30.88</v>
      </c>
      <c r="F191" s="104">
        <f t="shared" si="80"/>
        <v>8</v>
      </c>
      <c r="G191" s="104">
        <f t="shared" si="81"/>
        <v>36</v>
      </c>
      <c r="H191" s="104">
        <f t="shared" si="82"/>
        <v>10</v>
      </c>
      <c r="I191" s="104">
        <f t="shared" si="83"/>
        <v>4</v>
      </c>
      <c r="J191" s="104">
        <f t="shared" si="84"/>
        <v>4.4000000000000004</v>
      </c>
      <c r="K191" s="104">
        <f t="shared" si="85"/>
        <v>13.28</v>
      </c>
      <c r="L191" s="104">
        <f t="shared" si="86"/>
        <v>7.6</v>
      </c>
      <c r="M191" s="104"/>
      <c r="N191" s="104"/>
      <c r="O191" s="104"/>
      <c r="P191" s="100">
        <v>97.2</v>
      </c>
      <c r="Q191" s="104">
        <f t="shared" si="87"/>
        <v>48.6</v>
      </c>
      <c r="R191" s="104">
        <f t="shared" si="88"/>
        <v>48.6</v>
      </c>
    </row>
    <row r="192" spans="1:18">
      <c r="A192" s="11">
        <v>103</v>
      </c>
      <c r="B192" s="11" t="s">
        <v>201</v>
      </c>
      <c r="C192" s="11">
        <v>4</v>
      </c>
      <c r="D192" s="11">
        <v>2</v>
      </c>
      <c r="E192" s="104">
        <f t="shared" si="79"/>
        <v>30.88</v>
      </c>
      <c r="F192" s="104">
        <f t="shared" si="80"/>
        <v>8</v>
      </c>
      <c r="G192" s="104">
        <f t="shared" si="81"/>
        <v>36</v>
      </c>
      <c r="H192" s="104">
        <f t="shared" si="82"/>
        <v>10</v>
      </c>
      <c r="I192" s="104">
        <f t="shared" si="83"/>
        <v>4</v>
      </c>
      <c r="J192" s="104">
        <f t="shared" si="84"/>
        <v>4.4000000000000004</v>
      </c>
      <c r="K192" s="104">
        <f t="shared" si="85"/>
        <v>13.28</v>
      </c>
      <c r="L192" s="104">
        <f t="shared" si="86"/>
        <v>7.6</v>
      </c>
      <c r="M192" s="104"/>
      <c r="N192" s="104"/>
      <c r="O192" s="104"/>
      <c r="P192" s="100">
        <v>117.6</v>
      </c>
      <c r="Q192" s="104">
        <f t="shared" si="87"/>
        <v>58.8</v>
      </c>
      <c r="R192" s="104">
        <f t="shared" si="88"/>
        <v>58.8</v>
      </c>
    </row>
    <row r="193" spans="1:18">
      <c r="A193" s="11">
        <v>104</v>
      </c>
      <c r="B193" s="11" t="s">
        <v>202</v>
      </c>
      <c r="C193" s="11">
        <v>5</v>
      </c>
      <c r="D193" s="11">
        <v>2</v>
      </c>
      <c r="E193" s="104">
        <f t="shared" si="79"/>
        <v>38.6</v>
      </c>
      <c r="F193" s="104">
        <f t="shared" si="80"/>
        <v>8</v>
      </c>
      <c r="G193" s="104">
        <f t="shared" si="81"/>
        <v>45</v>
      </c>
      <c r="H193" s="104">
        <f t="shared" si="82"/>
        <v>12</v>
      </c>
      <c r="I193" s="104">
        <f t="shared" si="83"/>
        <v>5</v>
      </c>
      <c r="J193" s="104">
        <f t="shared" si="84"/>
        <v>5.5</v>
      </c>
      <c r="K193" s="104">
        <f t="shared" si="85"/>
        <v>16.599999999999998</v>
      </c>
      <c r="L193" s="104">
        <f t="shared" si="86"/>
        <v>9.5</v>
      </c>
      <c r="M193" s="104"/>
      <c r="N193" s="104"/>
      <c r="O193" s="104"/>
      <c r="P193" s="100">
        <v>124.2</v>
      </c>
      <c r="Q193" s="104">
        <f t="shared" si="87"/>
        <v>49.68</v>
      </c>
      <c r="R193" s="104">
        <f t="shared" si="88"/>
        <v>74.52000000000001</v>
      </c>
    </row>
    <row r="194" spans="1:18">
      <c r="A194" s="11">
        <v>105</v>
      </c>
      <c r="B194" s="11" t="s">
        <v>203</v>
      </c>
      <c r="C194" s="11">
        <v>4</v>
      </c>
      <c r="D194" s="11">
        <v>4</v>
      </c>
      <c r="E194" s="104">
        <f t="shared" si="79"/>
        <v>61.76</v>
      </c>
      <c r="F194" s="104">
        <f t="shared" si="80"/>
        <v>16</v>
      </c>
      <c r="G194" s="104">
        <f t="shared" si="81"/>
        <v>72</v>
      </c>
      <c r="H194" s="104">
        <f t="shared" si="82"/>
        <v>20</v>
      </c>
      <c r="I194" s="104">
        <f t="shared" si="83"/>
        <v>8</v>
      </c>
      <c r="J194" s="104">
        <f t="shared" si="84"/>
        <v>8.8000000000000007</v>
      </c>
      <c r="K194" s="104">
        <f t="shared" si="85"/>
        <v>26.56</v>
      </c>
      <c r="L194" s="104">
        <f t="shared" si="86"/>
        <v>15.2</v>
      </c>
      <c r="M194" s="104"/>
      <c r="N194" s="104"/>
      <c r="O194" s="104"/>
      <c r="P194" s="100">
        <v>198</v>
      </c>
      <c r="Q194" s="104">
        <f t="shared" si="87"/>
        <v>99</v>
      </c>
      <c r="R194" s="104">
        <f t="shared" si="88"/>
        <v>99</v>
      </c>
    </row>
    <row r="195" spans="1:18">
      <c r="A195" s="11">
        <v>106</v>
      </c>
      <c r="B195" s="11" t="s">
        <v>204</v>
      </c>
      <c r="C195" s="11">
        <v>5</v>
      </c>
      <c r="D195" s="11">
        <v>4</v>
      </c>
      <c r="E195" s="104">
        <f t="shared" si="79"/>
        <v>77.2</v>
      </c>
      <c r="F195" s="104">
        <f t="shared" si="80"/>
        <v>16</v>
      </c>
      <c r="G195" s="104">
        <f t="shared" si="81"/>
        <v>90</v>
      </c>
      <c r="H195" s="104">
        <f t="shared" si="82"/>
        <v>24</v>
      </c>
      <c r="I195" s="104">
        <f t="shared" si="83"/>
        <v>10</v>
      </c>
      <c r="J195" s="104">
        <f t="shared" si="84"/>
        <v>11</v>
      </c>
      <c r="K195" s="104">
        <f t="shared" si="85"/>
        <v>33.199999999999996</v>
      </c>
      <c r="L195" s="104">
        <f t="shared" si="86"/>
        <v>19</v>
      </c>
      <c r="M195" s="104"/>
      <c r="N195" s="104"/>
      <c r="O195" s="104"/>
      <c r="P195" s="100">
        <v>266.3</v>
      </c>
      <c r="Q195" s="104">
        <f t="shared" si="87"/>
        <v>106.52000000000001</v>
      </c>
      <c r="R195" s="104">
        <f t="shared" si="88"/>
        <v>159.78</v>
      </c>
    </row>
    <row r="196" spans="1:18">
      <c r="A196" s="11">
        <v>107</v>
      </c>
      <c r="B196" s="11" t="s">
        <v>205</v>
      </c>
      <c r="C196" s="109">
        <v>3</v>
      </c>
      <c r="D196" s="109">
        <v>3</v>
      </c>
      <c r="E196" s="100">
        <f t="shared" si="79"/>
        <v>34.74</v>
      </c>
      <c r="F196" s="100">
        <f t="shared" si="80"/>
        <v>12</v>
      </c>
      <c r="G196" s="100">
        <f t="shared" si="81"/>
        <v>40.5</v>
      </c>
      <c r="H196" s="100">
        <f t="shared" si="82"/>
        <v>12</v>
      </c>
      <c r="I196" s="100">
        <f t="shared" si="83"/>
        <v>4.5</v>
      </c>
      <c r="J196" s="100">
        <f t="shared" si="84"/>
        <v>4.95</v>
      </c>
      <c r="K196" s="100">
        <f t="shared" si="85"/>
        <v>14.939999999999998</v>
      </c>
      <c r="L196" s="100">
        <f t="shared" si="86"/>
        <v>8.5499999999999989</v>
      </c>
      <c r="M196" s="110"/>
      <c r="N196" s="102"/>
      <c r="O196" s="103"/>
      <c r="P196" s="102">
        <v>107.6</v>
      </c>
      <c r="Q196" s="104">
        <f t="shared" si="87"/>
        <v>71.733333333333334</v>
      </c>
      <c r="R196" s="104">
        <f t="shared" si="88"/>
        <v>35.86666666666666</v>
      </c>
    </row>
    <row r="197" spans="1:18">
      <c r="A197" s="11">
        <v>108</v>
      </c>
      <c r="B197" s="11" t="s">
        <v>206</v>
      </c>
      <c r="C197" s="109">
        <v>3</v>
      </c>
      <c r="D197" s="111">
        <v>2</v>
      </c>
      <c r="E197" s="100">
        <f t="shared" si="79"/>
        <v>23.16</v>
      </c>
      <c r="F197" s="100">
        <f t="shared" si="80"/>
        <v>8</v>
      </c>
      <c r="G197" s="100">
        <f t="shared" si="81"/>
        <v>27</v>
      </c>
      <c r="H197" s="100">
        <f t="shared" si="82"/>
        <v>8</v>
      </c>
      <c r="I197" s="100">
        <f t="shared" si="83"/>
        <v>3</v>
      </c>
      <c r="J197" s="100">
        <f t="shared" si="84"/>
        <v>3.3000000000000003</v>
      </c>
      <c r="K197" s="100">
        <f t="shared" si="85"/>
        <v>9.9599999999999991</v>
      </c>
      <c r="L197" s="100">
        <f t="shared" si="86"/>
        <v>5.6999999999999993</v>
      </c>
      <c r="M197" s="110"/>
      <c r="N197" s="102"/>
      <c r="O197" s="103"/>
      <c r="P197" s="102">
        <v>87</v>
      </c>
      <c r="Q197" s="104">
        <f t="shared" si="87"/>
        <v>58</v>
      </c>
      <c r="R197" s="104">
        <f t="shared" si="88"/>
        <v>29</v>
      </c>
    </row>
    <row r="198" spans="1:18">
      <c r="A198" s="11">
        <v>109</v>
      </c>
      <c r="B198" s="11" t="s">
        <v>207</v>
      </c>
      <c r="C198" s="109">
        <v>3</v>
      </c>
      <c r="D198" s="109">
        <v>3</v>
      </c>
      <c r="E198" s="100">
        <f t="shared" si="79"/>
        <v>34.74</v>
      </c>
      <c r="F198" s="100">
        <f t="shared" si="80"/>
        <v>12</v>
      </c>
      <c r="G198" s="100">
        <f t="shared" si="81"/>
        <v>40.5</v>
      </c>
      <c r="H198" s="100">
        <f t="shared" si="82"/>
        <v>12</v>
      </c>
      <c r="I198" s="100">
        <f t="shared" si="83"/>
        <v>4.5</v>
      </c>
      <c r="J198" s="100">
        <f t="shared" si="84"/>
        <v>4.95</v>
      </c>
      <c r="K198" s="100">
        <f t="shared" si="85"/>
        <v>14.939999999999998</v>
      </c>
      <c r="L198" s="100">
        <f t="shared" si="86"/>
        <v>8.5499999999999989</v>
      </c>
      <c r="M198" s="110"/>
      <c r="N198" s="102"/>
      <c r="O198" s="103"/>
      <c r="P198" s="102">
        <v>110.1</v>
      </c>
      <c r="Q198" s="104">
        <f t="shared" si="87"/>
        <v>73.399999999999991</v>
      </c>
      <c r="R198" s="104">
        <f t="shared" si="88"/>
        <v>36.700000000000003</v>
      </c>
    </row>
    <row r="199" spans="1:18">
      <c r="A199" s="11">
        <v>110</v>
      </c>
      <c r="B199" s="11" t="s">
        <v>208</v>
      </c>
      <c r="C199" s="11">
        <v>5</v>
      </c>
      <c r="D199" s="11">
        <v>4</v>
      </c>
      <c r="E199" s="104">
        <f t="shared" si="79"/>
        <v>77.2</v>
      </c>
      <c r="F199" s="104">
        <f t="shared" si="80"/>
        <v>16</v>
      </c>
      <c r="G199" s="104">
        <f t="shared" si="81"/>
        <v>90</v>
      </c>
      <c r="H199" s="104">
        <f t="shared" si="82"/>
        <v>24</v>
      </c>
      <c r="I199" s="104">
        <f t="shared" si="83"/>
        <v>10</v>
      </c>
      <c r="J199" s="104">
        <f t="shared" si="84"/>
        <v>11</v>
      </c>
      <c r="K199" s="104">
        <f t="shared" si="85"/>
        <v>33.199999999999996</v>
      </c>
      <c r="L199" s="104">
        <f t="shared" si="86"/>
        <v>19</v>
      </c>
      <c r="M199" s="104"/>
      <c r="N199" s="104"/>
      <c r="O199" s="104"/>
      <c r="P199" s="100">
        <v>274</v>
      </c>
      <c r="Q199" s="104">
        <f t="shared" si="87"/>
        <v>109.6</v>
      </c>
      <c r="R199" s="104">
        <f t="shared" si="88"/>
        <v>164.4</v>
      </c>
    </row>
    <row r="200" spans="1:18">
      <c r="A200" s="11">
        <v>111</v>
      </c>
      <c r="B200" s="11" t="s">
        <v>209</v>
      </c>
      <c r="C200" s="109">
        <v>3</v>
      </c>
      <c r="D200" s="109">
        <v>2</v>
      </c>
      <c r="E200" s="100">
        <f t="shared" si="79"/>
        <v>23.16</v>
      </c>
      <c r="F200" s="100">
        <f t="shared" si="80"/>
        <v>8</v>
      </c>
      <c r="G200" s="100">
        <f t="shared" si="81"/>
        <v>27</v>
      </c>
      <c r="H200" s="100">
        <f t="shared" si="82"/>
        <v>8</v>
      </c>
      <c r="I200" s="100">
        <f t="shared" si="83"/>
        <v>3</v>
      </c>
      <c r="J200" s="100">
        <f t="shared" si="84"/>
        <v>3.3000000000000003</v>
      </c>
      <c r="K200" s="100">
        <f t="shared" si="85"/>
        <v>9.9599999999999991</v>
      </c>
      <c r="L200" s="100">
        <f t="shared" si="86"/>
        <v>5.6999999999999993</v>
      </c>
      <c r="M200" s="110"/>
      <c r="N200" s="102"/>
      <c r="O200" s="103"/>
      <c r="P200" s="102">
        <v>110</v>
      </c>
      <c r="Q200" s="104">
        <f t="shared" si="87"/>
        <v>73.333333333333329</v>
      </c>
      <c r="R200" s="104">
        <f t="shared" si="88"/>
        <v>36.666666666666671</v>
      </c>
    </row>
    <row r="201" spans="1:18">
      <c r="A201" s="11">
        <v>112</v>
      </c>
      <c r="B201" s="11" t="s">
        <v>210</v>
      </c>
      <c r="C201" s="109">
        <v>3</v>
      </c>
      <c r="D201" s="109">
        <v>2</v>
      </c>
      <c r="E201" s="100">
        <f t="shared" si="79"/>
        <v>23.16</v>
      </c>
      <c r="F201" s="100">
        <f t="shared" si="80"/>
        <v>8</v>
      </c>
      <c r="G201" s="100">
        <f t="shared" si="81"/>
        <v>27</v>
      </c>
      <c r="H201" s="100">
        <f t="shared" si="82"/>
        <v>8</v>
      </c>
      <c r="I201" s="100">
        <f t="shared" si="83"/>
        <v>3</v>
      </c>
      <c r="J201" s="100">
        <f t="shared" si="84"/>
        <v>3.3000000000000003</v>
      </c>
      <c r="K201" s="100">
        <f t="shared" si="85"/>
        <v>9.9599999999999991</v>
      </c>
      <c r="L201" s="100">
        <f t="shared" si="86"/>
        <v>5.6999999999999993</v>
      </c>
      <c r="M201" s="110"/>
      <c r="N201" s="102"/>
      <c r="O201" s="103"/>
      <c r="P201" s="102">
        <v>47.5</v>
      </c>
      <c r="Q201" s="104">
        <f t="shared" si="87"/>
        <v>31.666666666666668</v>
      </c>
      <c r="R201" s="104">
        <f t="shared" si="88"/>
        <v>15.833333333333332</v>
      </c>
    </row>
    <row r="202" spans="1:18">
      <c r="A202" s="11">
        <v>113</v>
      </c>
      <c r="B202" s="11" t="s">
        <v>211</v>
      </c>
      <c r="C202" s="109">
        <v>3</v>
      </c>
      <c r="D202" s="109">
        <v>2</v>
      </c>
      <c r="E202" s="100">
        <f t="shared" si="79"/>
        <v>23.16</v>
      </c>
      <c r="F202" s="100">
        <f t="shared" si="80"/>
        <v>8</v>
      </c>
      <c r="G202" s="100">
        <f t="shared" si="81"/>
        <v>27</v>
      </c>
      <c r="H202" s="100">
        <f t="shared" si="82"/>
        <v>8</v>
      </c>
      <c r="I202" s="100">
        <f t="shared" si="83"/>
        <v>3</v>
      </c>
      <c r="J202" s="100">
        <f t="shared" si="84"/>
        <v>3.3000000000000003</v>
      </c>
      <c r="K202" s="100">
        <f t="shared" si="85"/>
        <v>9.9599999999999991</v>
      </c>
      <c r="L202" s="100">
        <f t="shared" si="86"/>
        <v>5.6999999999999993</v>
      </c>
      <c r="M202" s="110"/>
      <c r="N202" s="102"/>
      <c r="O202" s="103"/>
      <c r="P202" s="102">
        <v>47.5</v>
      </c>
      <c r="Q202" s="104">
        <f t="shared" si="87"/>
        <v>31.666666666666668</v>
      </c>
      <c r="R202" s="104">
        <f t="shared" si="88"/>
        <v>15.833333333333332</v>
      </c>
    </row>
    <row r="203" spans="1:18">
      <c r="A203" s="11">
        <v>114</v>
      </c>
      <c r="B203" s="11" t="s">
        <v>212</v>
      </c>
      <c r="C203" s="109">
        <v>2</v>
      </c>
      <c r="D203" s="109">
        <v>1</v>
      </c>
      <c r="E203" s="100">
        <f t="shared" si="79"/>
        <v>7.72</v>
      </c>
      <c r="F203" s="100">
        <f t="shared" si="80"/>
        <v>4</v>
      </c>
      <c r="G203" s="100">
        <f t="shared" si="81"/>
        <v>9</v>
      </c>
      <c r="H203" s="100">
        <f t="shared" si="82"/>
        <v>3</v>
      </c>
      <c r="I203" s="100">
        <f t="shared" si="83"/>
        <v>1</v>
      </c>
      <c r="J203" s="100">
        <f t="shared" si="84"/>
        <v>1.1000000000000001</v>
      </c>
      <c r="K203" s="100">
        <f t="shared" si="85"/>
        <v>3.32</v>
      </c>
      <c r="L203" s="100">
        <f t="shared" si="86"/>
        <v>1.9</v>
      </c>
      <c r="M203" s="110"/>
      <c r="N203" s="102"/>
      <c r="O203" s="103"/>
      <c r="P203" s="102">
        <v>39.4</v>
      </c>
      <c r="Q203" s="104">
        <f t="shared" si="87"/>
        <v>39.4</v>
      </c>
      <c r="R203" s="104">
        <f t="shared" si="88"/>
        <v>0</v>
      </c>
    </row>
    <row r="204" spans="1:18">
      <c r="A204" s="11">
        <v>115</v>
      </c>
      <c r="B204" s="11" t="s">
        <v>213</v>
      </c>
      <c r="C204" s="109">
        <v>2</v>
      </c>
      <c r="D204" s="109">
        <v>3</v>
      </c>
      <c r="E204" s="100">
        <f t="shared" si="79"/>
        <v>23.16</v>
      </c>
      <c r="F204" s="100">
        <f t="shared" si="80"/>
        <v>12</v>
      </c>
      <c r="G204" s="100">
        <f t="shared" si="81"/>
        <v>27</v>
      </c>
      <c r="H204" s="100">
        <f t="shared" si="82"/>
        <v>9</v>
      </c>
      <c r="I204" s="100">
        <f t="shared" si="83"/>
        <v>3</v>
      </c>
      <c r="J204" s="100">
        <f t="shared" si="84"/>
        <v>3.3000000000000003</v>
      </c>
      <c r="K204" s="100">
        <f t="shared" si="85"/>
        <v>9.9599999999999991</v>
      </c>
      <c r="L204" s="100">
        <f t="shared" si="86"/>
        <v>5.6999999999999993</v>
      </c>
      <c r="M204" s="110"/>
      <c r="N204" s="102"/>
      <c r="O204" s="103"/>
      <c r="P204" s="102">
        <v>91.4</v>
      </c>
      <c r="Q204" s="104">
        <f t="shared" si="87"/>
        <v>91.4</v>
      </c>
      <c r="R204" s="104">
        <f t="shared" si="88"/>
        <v>0</v>
      </c>
    </row>
    <row r="205" spans="1:18">
      <c r="A205" s="11">
        <v>116</v>
      </c>
      <c r="B205" s="11" t="s">
        <v>214</v>
      </c>
      <c r="C205" s="11">
        <v>5</v>
      </c>
      <c r="D205" s="11">
        <v>4</v>
      </c>
      <c r="E205" s="104">
        <f t="shared" si="79"/>
        <v>77.2</v>
      </c>
      <c r="F205" s="104">
        <f t="shared" si="80"/>
        <v>16</v>
      </c>
      <c r="G205" s="104">
        <f t="shared" si="81"/>
        <v>90</v>
      </c>
      <c r="H205" s="104">
        <f t="shared" si="82"/>
        <v>24</v>
      </c>
      <c r="I205" s="104">
        <f t="shared" si="83"/>
        <v>10</v>
      </c>
      <c r="J205" s="104">
        <f t="shared" si="84"/>
        <v>11</v>
      </c>
      <c r="K205" s="104">
        <f t="shared" si="85"/>
        <v>33.199999999999996</v>
      </c>
      <c r="L205" s="104">
        <f t="shared" si="86"/>
        <v>19</v>
      </c>
      <c r="M205" s="104"/>
      <c r="N205" s="104"/>
      <c r="O205" s="104"/>
      <c r="P205" s="100">
        <v>270.3</v>
      </c>
      <c r="Q205" s="104">
        <f t="shared" si="87"/>
        <v>108.12</v>
      </c>
      <c r="R205" s="104">
        <f t="shared" si="88"/>
        <v>162.18</v>
      </c>
    </row>
    <row r="206" spans="1:18">
      <c r="A206" s="11">
        <v>117</v>
      </c>
      <c r="B206" s="11" t="s">
        <v>215</v>
      </c>
      <c r="C206" s="11">
        <v>5</v>
      </c>
      <c r="D206" s="11">
        <v>4</v>
      </c>
      <c r="E206" s="104">
        <f t="shared" si="79"/>
        <v>77.2</v>
      </c>
      <c r="F206" s="104">
        <f t="shared" si="80"/>
        <v>16</v>
      </c>
      <c r="G206" s="104">
        <f t="shared" si="81"/>
        <v>90</v>
      </c>
      <c r="H206" s="104">
        <f t="shared" si="82"/>
        <v>24</v>
      </c>
      <c r="I206" s="104">
        <f t="shared" si="83"/>
        <v>10</v>
      </c>
      <c r="J206" s="104">
        <f t="shared" si="84"/>
        <v>11</v>
      </c>
      <c r="K206" s="104">
        <f t="shared" si="85"/>
        <v>33.199999999999996</v>
      </c>
      <c r="L206" s="104">
        <f t="shared" si="86"/>
        <v>19</v>
      </c>
      <c r="M206" s="104"/>
      <c r="N206" s="104"/>
      <c r="O206" s="104"/>
      <c r="P206" s="100">
        <v>274</v>
      </c>
      <c r="Q206" s="104">
        <f t="shared" si="87"/>
        <v>109.6</v>
      </c>
      <c r="R206" s="104">
        <f t="shared" si="88"/>
        <v>164.4</v>
      </c>
    </row>
    <row r="207" spans="1:18">
      <c r="A207" s="11">
        <v>118</v>
      </c>
      <c r="B207" s="11" t="s">
        <v>216</v>
      </c>
      <c r="C207" s="11">
        <v>4</v>
      </c>
      <c r="D207" s="11">
        <v>4</v>
      </c>
      <c r="E207" s="104">
        <f t="shared" si="79"/>
        <v>61.76</v>
      </c>
      <c r="F207" s="104">
        <f t="shared" si="80"/>
        <v>16</v>
      </c>
      <c r="G207" s="104">
        <f t="shared" si="81"/>
        <v>72</v>
      </c>
      <c r="H207" s="104">
        <f t="shared" si="82"/>
        <v>20</v>
      </c>
      <c r="I207" s="104">
        <f t="shared" si="83"/>
        <v>8</v>
      </c>
      <c r="J207" s="104">
        <f t="shared" si="84"/>
        <v>8.8000000000000007</v>
      </c>
      <c r="K207" s="104">
        <f t="shared" si="85"/>
        <v>26.56</v>
      </c>
      <c r="L207" s="104">
        <f t="shared" si="86"/>
        <v>15.2</v>
      </c>
      <c r="M207" s="104"/>
      <c r="N207" s="104"/>
      <c r="O207" s="104"/>
      <c r="P207" s="100">
        <v>263</v>
      </c>
      <c r="Q207" s="104">
        <f t="shared" si="87"/>
        <v>131.5</v>
      </c>
      <c r="R207" s="104">
        <f t="shared" si="88"/>
        <v>131.5</v>
      </c>
    </row>
    <row r="208" spans="1:18">
      <c r="A208" s="11">
        <v>119</v>
      </c>
      <c r="B208" s="11" t="s">
        <v>217</v>
      </c>
      <c r="C208" s="11">
        <v>5</v>
      </c>
      <c r="D208" s="11">
        <v>4</v>
      </c>
      <c r="E208" s="104">
        <f t="shared" si="79"/>
        <v>77.2</v>
      </c>
      <c r="F208" s="104">
        <f t="shared" si="80"/>
        <v>16</v>
      </c>
      <c r="G208" s="104">
        <f t="shared" si="81"/>
        <v>90</v>
      </c>
      <c r="H208" s="104">
        <f t="shared" si="82"/>
        <v>24</v>
      </c>
      <c r="I208" s="104">
        <f t="shared" si="83"/>
        <v>10</v>
      </c>
      <c r="J208" s="104">
        <f t="shared" si="84"/>
        <v>11</v>
      </c>
      <c r="K208" s="104">
        <f t="shared" si="85"/>
        <v>33.199999999999996</v>
      </c>
      <c r="L208" s="104">
        <f t="shared" si="86"/>
        <v>19</v>
      </c>
      <c r="M208" s="104"/>
      <c r="N208" s="104"/>
      <c r="O208" s="104"/>
      <c r="P208" s="100">
        <v>248.5</v>
      </c>
      <c r="Q208" s="104">
        <f t="shared" si="87"/>
        <v>99.4</v>
      </c>
      <c r="R208" s="104">
        <f t="shared" si="88"/>
        <v>149.1</v>
      </c>
    </row>
    <row r="209" spans="1:18">
      <c r="A209" s="11">
        <v>120</v>
      </c>
      <c r="B209" s="11" t="s">
        <v>218</v>
      </c>
      <c r="C209" s="11">
        <v>5</v>
      </c>
      <c r="D209" s="11">
        <v>4</v>
      </c>
      <c r="E209" s="104">
        <f t="shared" si="79"/>
        <v>77.2</v>
      </c>
      <c r="F209" s="104">
        <f t="shared" si="80"/>
        <v>16</v>
      </c>
      <c r="G209" s="104">
        <f t="shared" si="81"/>
        <v>90</v>
      </c>
      <c r="H209" s="104">
        <f t="shared" si="82"/>
        <v>24</v>
      </c>
      <c r="I209" s="104">
        <f t="shared" si="83"/>
        <v>10</v>
      </c>
      <c r="J209" s="104">
        <f t="shared" si="84"/>
        <v>11</v>
      </c>
      <c r="K209" s="104">
        <f t="shared" si="85"/>
        <v>33.199999999999996</v>
      </c>
      <c r="L209" s="104">
        <f t="shared" si="86"/>
        <v>19</v>
      </c>
      <c r="M209" s="104"/>
      <c r="N209" s="104"/>
      <c r="O209" s="104"/>
      <c r="P209" s="100">
        <v>197.6</v>
      </c>
      <c r="Q209" s="104">
        <f t="shared" si="87"/>
        <v>79.039999999999992</v>
      </c>
      <c r="R209" s="104">
        <f t="shared" si="88"/>
        <v>118.56</v>
      </c>
    </row>
    <row r="210" spans="1:18">
      <c r="A210" s="11">
        <v>121</v>
      </c>
      <c r="B210" s="11" t="s">
        <v>219</v>
      </c>
      <c r="C210" s="11">
        <v>5</v>
      </c>
      <c r="D210" s="11">
        <v>3</v>
      </c>
      <c r="E210" s="104">
        <f t="shared" si="79"/>
        <v>57.900000000000006</v>
      </c>
      <c r="F210" s="104">
        <f t="shared" si="80"/>
        <v>12</v>
      </c>
      <c r="G210" s="104">
        <f t="shared" si="81"/>
        <v>67.5</v>
      </c>
      <c r="H210" s="104">
        <f t="shared" si="82"/>
        <v>18</v>
      </c>
      <c r="I210" s="104">
        <f t="shared" si="83"/>
        <v>7.5</v>
      </c>
      <c r="J210" s="104">
        <f t="shared" si="84"/>
        <v>8.25</v>
      </c>
      <c r="K210" s="104">
        <f t="shared" si="85"/>
        <v>24.9</v>
      </c>
      <c r="L210" s="104">
        <f t="shared" si="86"/>
        <v>14.25</v>
      </c>
      <c r="M210" s="104"/>
      <c r="N210" s="104"/>
      <c r="O210" s="104"/>
      <c r="P210" s="100">
        <v>185.8</v>
      </c>
      <c r="Q210" s="104">
        <f t="shared" si="87"/>
        <v>74.320000000000007</v>
      </c>
      <c r="R210" s="104">
        <f t="shared" si="88"/>
        <v>111.48</v>
      </c>
    </row>
    <row r="211" spans="1:18">
      <c r="A211" s="11">
        <v>122</v>
      </c>
      <c r="B211" s="11" t="s">
        <v>220</v>
      </c>
      <c r="C211" s="11">
        <v>5</v>
      </c>
      <c r="D211" s="11">
        <v>5</v>
      </c>
      <c r="E211" s="104">
        <f t="shared" si="79"/>
        <v>96.5</v>
      </c>
      <c r="F211" s="104">
        <f t="shared" si="80"/>
        <v>20</v>
      </c>
      <c r="G211" s="104">
        <f t="shared" si="81"/>
        <v>112.5</v>
      </c>
      <c r="H211" s="104">
        <f t="shared" si="82"/>
        <v>30</v>
      </c>
      <c r="I211" s="104">
        <f t="shared" si="83"/>
        <v>12.5</v>
      </c>
      <c r="J211" s="104">
        <f t="shared" si="84"/>
        <v>13.75</v>
      </c>
      <c r="K211" s="104">
        <f t="shared" si="85"/>
        <v>41.499999999999993</v>
      </c>
      <c r="L211" s="104">
        <f t="shared" si="86"/>
        <v>23.75</v>
      </c>
      <c r="M211" s="104"/>
      <c r="N211" s="104"/>
      <c r="O211" s="104"/>
      <c r="P211" s="100">
        <v>247.4</v>
      </c>
      <c r="Q211" s="104">
        <f t="shared" si="87"/>
        <v>98.960000000000008</v>
      </c>
      <c r="R211" s="104">
        <f t="shared" si="88"/>
        <v>148.44</v>
      </c>
    </row>
    <row r="212" spans="1:18">
      <c r="A212" s="11">
        <v>123</v>
      </c>
      <c r="B212" s="11" t="s">
        <v>221</v>
      </c>
      <c r="C212" s="11">
        <v>5</v>
      </c>
      <c r="D212" s="11">
        <v>4</v>
      </c>
      <c r="E212" s="104">
        <f t="shared" si="79"/>
        <v>77.2</v>
      </c>
      <c r="F212" s="104">
        <f t="shared" si="80"/>
        <v>16</v>
      </c>
      <c r="G212" s="104">
        <f t="shared" si="81"/>
        <v>90</v>
      </c>
      <c r="H212" s="104">
        <f t="shared" si="82"/>
        <v>24</v>
      </c>
      <c r="I212" s="104">
        <f t="shared" si="83"/>
        <v>10</v>
      </c>
      <c r="J212" s="104">
        <f t="shared" si="84"/>
        <v>11</v>
      </c>
      <c r="K212" s="104">
        <f t="shared" si="85"/>
        <v>33.199999999999996</v>
      </c>
      <c r="L212" s="104">
        <f t="shared" si="86"/>
        <v>19</v>
      </c>
      <c r="M212" s="104"/>
      <c r="N212" s="104"/>
      <c r="O212" s="104"/>
      <c r="P212" s="100">
        <v>249.6</v>
      </c>
      <c r="Q212" s="104">
        <f t="shared" si="87"/>
        <v>99.84</v>
      </c>
      <c r="R212" s="104">
        <f t="shared" si="88"/>
        <v>149.76</v>
      </c>
    </row>
    <row r="213" spans="1:18">
      <c r="A213" s="11">
        <v>124</v>
      </c>
      <c r="B213" s="11" t="s">
        <v>222</v>
      </c>
      <c r="C213" s="11">
        <v>5</v>
      </c>
      <c r="D213" s="11">
        <v>5</v>
      </c>
      <c r="E213" s="104">
        <f t="shared" si="79"/>
        <v>96.5</v>
      </c>
      <c r="F213" s="104">
        <f t="shared" si="80"/>
        <v>20</v>
      </c>
      <c r="G213" s="104">
        <f t="shared" si="81"/>
        <v>112.5</v>
      </c>
      <c r="H213" s="104">
        <f t="shared" si="82"/>
        <v>30</v>
      </c>
      <c r="I213" s="104">
        <f t="shared" si="83"/>
        <v>12.5</v>
      </c>
      <c r="J213" s="104">
        <f t="shared" si="84"/>
        <v>13.75</v>
      </c>
      <c r="K213" s="104">
        <f t="shared" si="85"/>
        <v>41.499999999999993</v>
      </c>
      <c r="L213" s="104">
        <f t="shared" si="86"/>
        <v>23.75</v>
      </c>
      <c r="M213" s="104"/>
      <c r="N213" s="104"/>
      <c r="O213" s="104"/>
      <c r="P213" s="100">
        <v>319</v>
      </c>
      <c r="Q213" s="104">
        <f t="shared" si="87"/>
        <v>127.6</v>
      </c>
      <c r="R213" s="104">
        <f t="shared" si="88"/>
        <v>191.4</v>
      </c>
    </row>
    <row r="214" spans="1:18">
      <c r="A214" s="11">
        <v>125</v>
      </c>
      <c r="B214" s="11" t="s">
        <v>223</v>
      </c>
      <c r="C214" s="11">
        <v>5</v>
      </c>
      <c r="D214" s="11">
        <v>4</v>
      </c>
      <c r="E214" s="104">
        <f t="shared" si="79"/>
        <v>77.2</v>
      </c>
      <c r="F214" s="104">
        <f t="shared" si="80"/>
        <v>16</v>
      </c>
      <c r="G214" s="104">
        <f t="shared" si="81"/>
        <v>90</v>
      </c>
      <c r="H214" s="104">
        <f t="shared" si="82"/>
        <v>24</v>
      </c>
      <c r="I214" s="104">
        <f t="shared" si="83"/>
        <v>10</v>
      </c>
      <c r="J214" s="104">
        <f t="shared" si="84"/>
        <v>11</v>
      </c>
      <c r="K214" s="104">
        <f t="shared" si="85"/>
        <v>33.199999999999996</v>
      </c>
      <c r="L214" s="104">
        <f t="shared" si="86"/>
        <v>19</v>
      </c>
      <c r="M214" s="104"/>
      <c r="N214" s="104"/>
      <c r="O214" s="104"/>
      <c r="P214" s="100">
        <v>249.3</v>
      </c>
      <c r="Q214" s="104">
        <f t="shared" si="87"/>
        <v>99.72</v>
      </c>
      <c r="R214" s="104">
        <f t="shared" si="88"/>
        <v>149.58000000000001</v>
      </c>
    </row>
    <row r="215" spans="1:18">
      <c r="A215" s="11">
        <v>126</v>
      </c>
      <c r="B215" s="11" t="s">
        <v>224</v>
      </c>
      <c r="C215" s="11">
        <v>5</v>
      </c>
      <c r="D215" s="11">
        <v>2</v>
      </c>
      <c r="E215" s="104">
        <f t="shared" si="79"/>
        <v>38.6</v>
      </c>
      <c r="F215" s="104">
        <f t="shared" si="80"/>
        <v>8</v>
      </c>
      <c r="G215" s="104">
        <f t="shared" si="81"/>
        <v>45</v>
      </c>
      <c r="H215" s="104">
        <f t="shared" si="82"/>
        <v>12</v>
      </c>
      <c r="I215" s="104">
        <f t="shared" si="83"/>
        <v>5</v>
      </c>
      <c r="J215" s="104">
        <f t="shared" si="84"/>
        <v>5.5</v>
      </c>
      <c r="K215" s="104">
        <f t="shared" si="85"/>
        <v>16.599999999999998</v>
      </c>
      <c r="L215" s="104">
        <f t="shared" si="86"/>
        <v>9.5</v>
      </c>
      <c r="M215" s="104"/>
      <c r="N215" s="104"/>
      <c r="O215" s="104"/>
      <c r="P215" s="100">
        <v>26</v>
      </c>
      <c r="Q215" s="104">
        <f t="shared" si="87"/>
        <v>10.4</v>
      </c>
      <c r="R215" s="104">
        <f t="shared" si="88"/>
        <v>15.6</v>
      </c>
    </row>
    <row r="216" spans="1:18">
      <c r="A216" s="1">
        <v>126</v>
      </c>
      <c r="B216" s="1" t="s">
        <v>20</v>
      </c>
      <c r="C216" s="1"/>
      <c r="D216" s="1">
        <f t="shared" ref="D216:R216" si="89">SUM(D90:D215)</f>
        <v>346</v>
      </c>
      <c r="E216" s="1">
        <f t="shared" si="89"/>
        <v>5508.2199999999993</v>
      </c>
      <c r="F216" s="1">
        <f t="shared" si="89"/>
        <v>1384</v>
      </c>
      <c r="G216" s="1">
        <f t="shared" si="89"/>
        <v>6421.5</v>
      </c>
      <c r="H216" s="1">
        <f t="shared" si="89"/>
        <v>1773</v>
      </c>
      <c r="I216" s="1">
        <f t="shared" si="89"/>
        <v>713.5</v>
      </c>
      <c r="J216" s="1">
        <f t="shared" si="89"/>
        <v>784.84999999999957</v>
      </c>
      <c r="K216" s="1">
        <f t="shared" si="89"/>
        <v>2368.8199999999997</v>
      </c>
      <c r="L216" s="1">
        <f t="shared" si="89"/>
        <v>1355.65</v>
      </c>
      <c r="M216" s="1">
        <f t="shared" si="89"/>
        <v>0</v>
      </c>
      <c r="N216" s="1">
        <f t="shared" si="89"/>
        <v>0</v>
      </c>
      <c r="O216" s="1">
        <f t="shared" si="89"/>
        <v>0</v>
      </c>
      <c r="P216" s="1">
        <f t="shared" si="89"/>
        <v>21458.199999999986</v>
      </c>
      <c r="Q216" s="1">
        <f t="shared" si="89"/>
        <v>10575.226666666664</v>
      </c>
      <c r="R216" s="1">
        <f t="shared" si="89"/>
        <v>10882.973333333333</v>
      </c>
    </row>
    <row r="217" spans="1:18">
      <c r="A217" s="1">
        <f>A88+A216</f>
        <v>164</v>
      </c>
      <c r="B217" s="1" t="s">
        <v>62</v>
      </c>
      <c r="C217" s="1"/>
      <c r="D217" s="1">
        <f t="shared" ref="D217:R217" si="90">D88+D216</f>
        <v>397</v>
      </c>
      <c r="E217" s="1">
        <f t="shared" si="90"/>
        <v>5905.7999999999993</v>
      </c>
      <c r="F217" s="1">
        <f t="shared" si="90"/>
        <v>1588</v>
      </c>
      <c r="G217" s="1">
        <f t="shared" si="90"/>
        <v>6885</v>
      </c>
      <c r="H217" s="1">
        <f t="shared" si="90"/>
        <v>1927</v>
      </c>
      <c r="I217" s="1">
        <f t="shared" si="90"/>
        <v>765</v>
      </c>
      <c r="J217" s="1">
        <f t="shared" si="90"/>
        <v>841.49999999999955</v>
      </c>
      <c r="K217" s="1">
        <f t="shared" si="90"/>
        <v>2539.7999999999997</v>
      </c>
      <c r="L217" s="1">
        <f t="shared" si="90"/>
        <v>1453.5000000000002</v>
      </c>
      <c r="M217" s="1">
        <f t="shared" si="90"/>
        <v>0</v>
      </c>
      <c r="N217" s="1">
        <f t="shared" si="90"/>
        <v>0</v>
      </c>
      <c r="O217" s="1">
        <f t="shared" si="90"/>
        <v>0</v>
      </c>
      <c r="P217" s="1">
        <f t="shared" si="90"/>
        <v>23391.199999999986</v>
      </c>
      <c r="Q217" s="1">
        <f t="shared" si="90"/>
        <v>12488.093333333331</v>
      </c>
      <c r="R217" s="1">
        <f t="shared" si="90"/>
        <v>10903.106666666667</v>
      </c>
    </row>
    <row r="218" spans="1:18">
      <c r="A218" s="1">
        <f>A47+A217</f>
        <v>187</v>
      </c>
      <c r="B218" s="1" t="s">
        <v>235</v>
      </c>
      <c r="C218" s="1"/>
      <c r="D218" s="1">
        <f t="shared" ref="D218:R218" si="91">D47+D217</f>
        <v>528</v>
      </c>
      <c r="E218" s="1">
        <f t="shared" si="91"/>
        <v>8395.5</v>
      </c>
      <c r="F218" s="1">
        <f t="shared" si="91"/>
        <v>2112</v>
      </c>
      <c r="G218" s="1">
        <f t="shared" si="91"/>
        <v>9787.5</v>
      </c>
      <c r="H218" s="1">
        <f t="shared" si="91"/>
        <v>2703</v>
      </c>
      <c r="I218" s="1">
        <f t="shared" si="91"/>
        <v>1087.5</v>
      </c>
      <c r="J218" s="1">
        <f t="shared" si="91"/>
        <v>1196.2499999999995</v>
      </c>
      <c r="K218" s="1">
        <f t="shared" si="91"/>
        <v>3610.4999999999995</v>
      </c>
      <c r="L218" s="1">
        <f t="shared" si="91"/>
        <v>2066.25</v>
      </c>
      <c r="M218" s="1">
        <f t="shared" si="91"/>
        <v>0</v>
      </c>
      <c r="N218" s="1">
        <f t="shared" si="91"/>
        <v>0</v>
      </c>
      <c r="O218" s="1">
        <f t="shared" si="91"/>
        <v>0</v>
      </c>
      <c r="P218" s="1">
        <f t="shared" si="91"/>
        <v>34556.499999999985</v>
      </c>
      <c r="Q218" s="1">
        <f t="shared" si="91"/>
        <v>17023.64333333333</v>
      </c>
      <c r="R218" s="1">
        <f t="shared" si="91"/>
        <v>17532.856666666667</v>
      </c>
    </row>
    <row r="219" spans="1:18" ht="30.6" customHeight="1">
      <c r="A219" s="148" t="s">
        <v>265</v>
      </c>
      <c r="B219" s="148"/>
      <c r="C219" s="148"/>
      <c r="D219" s="148"/>
      <c r="E219" s="148"/>
      <c r="F219" s="148"/>
      <c r="G219" s="148"/>
      <c r="H219" s="148"/>
      <c r="I219" s="148"/>
      <c r="J219" s="148"/>
      <c r="K219" s="148"/>
      <c r="L219" s="148"/>
      <c r="M219" s="148"/>
      <c r="N219" s="148"/>
      <c r="O219" s="148"/>
      <c r="P219" s="148"/>
      <c r="Q219" s="148"/>
      <c r="R219" s="148"/>
    </row>
    <row r="220" spans="1:18">
      <c r="A220" s="94">
        <v>1</v>
      </c>
      <c r="B220" s="94" t="s">
        <v>236</v>
      </c>
      <c r="C220" s="94">
        <v>5</v>
      </c>
      <c r="D220" s="94">
        <v>1</v>
      </c>
      <c r="E220" s="100">
        <f>3.86*C220*D220</f>
        <v>19.3</v>
      </c>
      <c r="F220" s="100">
        <f>4*D220</f>
        <v>4</v>
      </c>
      <c r="G220" s="100">
        <f>4.5*C220*D220</f>
        <v>22.5</v>
      </c>
      <c r="H220" s="100">
        <f>1*C220*D220+1*D220</f>
        <v>6</v>
      </c>
      <c r="I220" s="100">
        <f>0.5*C220*D220</f>
        <v>2.5</v>
      </c>
      <c r="J220" s="100">
        <f>0.55*C220*D220</f>
        <v>2.75</v>
      </c>
      <c r="K220" s="100">
        <f>1.66*C220*D220</f>
        <v>8.2999999999999989</v>
      </c>
      <c r="L220" s="100">
        <f>0.95*C220*D220</f>
        <v>4.75</v>
      </c>
      <c r="M220" s="94"/>
      <c r="N220" s="16"/>
      <c r="O220" s="84"/>
      <c r="P220" s="16">
        <v>540</v>
      </c>
      <c r="Q220" s="95">
        <f>P220/C220*2</f>
        <v>216</v>
      </c>
      <c r="R220" s="95">
        <f>P220-Q220</f>
        <v>324</v>
      </c>
    </row>
    <row r="221" spans="1:18">
      <c r="A221" s="94">
        <v>2</v>
      </c>
      <c r="B221" s="94" t="s">
        <v>238</v>
      </c>
      <c r="C221" s="94">
        <v>5</v>
      </c>
      <c r="D221" s="94">
        <v>1</v>
      </c>
      <c r="E221" s="100">
        <f>3.86*C221*D221</f>
        <v>19.3</v>
      </c>
      <c r="F221" s="100">
        <f>4*D221</f>
        <v>4</v>
      </c>
      <c r="G221" s="100">
        <f>4.5*C221*D221</f>
        <v>22.5</v>
      </c>
      <c r="H221" s="100">
        <f>1*C221*D221+1*D221</f>
        <v>6</v>
      </c>
      <c r="I221" s="100">
        <f>0.5*C221*D221</f>
        <v>2.5</v>
      </c>
      <c r="J221" s="100">
        <f>0.55*C221*D221</f>
        <v>2.75</v>
      </c>
      <c r="K221" s="100">
        <f>1.66*C221*D221</f>
        <v>8.2999999999999989</v>
      </c>
      <c r="L221" s="100">
        <f>0.95*C221*D221</f>
        <v>4.75</v>
      </c>
      <c r="M221" s="94"/>
      <c r="N221" s="16"/>
      <c r="O221" s="84"/>
      <c r="P221" s="16">
        <v>538.20000000000005</v>
      </c>
      <c r="Q221" s="95">
        <f>P221/C221*2</f>
        <v>215.28000000000003</v>
      </c>
      <c r="R221" s="95">
        <f>P221-Q221</f>
        <v>322.92</v>
      </c>
    </row>
    <row r="222" spans="1:18" ht="16.5" thickTop="1" thickBot="1">
      <c r="A222" s="1">
        <v>2</v>
      </c>
      <c r="B222" s="71" t="s">
        <v>20</v>
      </c>
      <c r="C222" s="71"/>
      <c r="D222" s="1">
        <v>2</v>
      </c>
      <c r="E222" s="1">
        <f t="shared" ref="E222:R222" si="92">SUM(E220:E221)</f>
        <v>38.6</v>
      </c>
      <c r="F222" s="1">
        <f t="shared" si="92"/>
        <v>8</v>
      </c>
      <c r="G222" s="1">
        <f t="shared" si="92"/>
        <v>45</v>
      </c>
      <c r="H222" s="1">
        <f t="shared" si="92"/>
        <v>12</v>
      </c>
      <c r="I222" s="1">
        <f t="shared" si="92"/>
        <v>5</v>
      </c>
      <c r="J222" s="1">
        <f t="shared" si="92"/>
        <v>5.5</v>
      </c>
      <c r="K222" s="1">
        <f t="shared" si="92"/>
        <v>16.599999999999998</v>
      </c>
      <c r="L222" s="1">
        <f t="shared" si="92"/>
        <v>9.5</v>
      </c>
      <c r="M222" s="1">
        <f t="shared" si="92"/>
        <v>0</v>
      </c>
      <c r="N222" s="1">
        <f t="shared" si="92"/>
        <v>0</v>
      </c>
      <c r="O222" s="1">
        <f t="shared" si="92"/>
        <v>0</v>
      </c>
      <c r="P222" s="1">
        <f t="shared" si="92"/>
        <v>1078.2</v>
      </c>
      <c r="Q222" s="1">
        <f t="shared" si="92"/>
        <v>431.28000000000003</v>
      </c>
      <c r="R222" s="1">
        <f t="shared" si="92"/>
        <v>646.92000000000007</v>
      </c>
    </row>
    <row r="223" spans="1:18" ht="28.35" customHeight="1" thickTop="1" thickBot="1">
      <c r="A223" s="148" t="s">
        <v>239</v>
      </c>
      <c r="B223" s="148"/>
      <c r="C223" s="148"/>
      <c r="D223" s="148"/>
      <c r="E223" s="148"/>
      <c r="F223" s="148"/>
      <c r="G223" s="148"/>
      <c r="H223" s="148"/>
      <c r="I223" s="148"/>
      <c r="J223" s="148"/>
      <c r="K223" s="148"/>
      <c r="L223" s="148"/>
      <c r="M223" s="148"/>
      <c r="N223" s="148"/>
      <c r="O223" s="148"/>
      <c r="P223" s="148"/>
      <c r="Q223" s="148"/>
      <c r="R223" s="148"/>
    </row>
    <row r="224" spans="1:18">
      <c r="A224" s="11">
        <v>1</v>
      </c>
      <c r="B224" s="11" t="s">
        <v>240</v>
      </c>
      <c r="C224" s="109">
        <v>3</v>
      </c>
      <c r="D224" s="111">
        <v>2</v>
      </c>
      <c r="E224" s="100">
        <f>3.86*C224*D224</f>
        <v>23.16</v>
      </c>
      <c r="F224" s="100">
        <f>4*D224</f>
        <v>8</v>
      </c>
      <c r="G224" s="100">
        <f>4.5*C224*D224</f>
        <v>27</v>
      </c>
      <c r="H224" s="100">
        <f>1*C224*D224+1*D224</f>
        <v>8</v>
      </c>
      <c r="I224" s="100">
        <f>0.5*C224*D224</f>
        <v>3</v>
      </c>
      <c r="J224" s="100">
        <f>0.55*C224*D224</f>
        <v>3.3000000000000003</v>
      </c>
      <c r="K224" s="100">
        <f>1.66*C224*D224</f>
        <v>9.9599999999999991</v>
      </c>
      <c r="L224" s="100">
        <f>0.95*C224*D224</f>
        <v>5.6999999999999993</v>
      </c>
      <c r="M224" s="110"/>
      <c r="N224" s="102"/>
      <c r="O224" s="113"/>
      <c r="P224" s="102">
        <v>88.9</v>
      </c>
      <c r="Q224" s="104">
        <f>P224/C224*2</f>
        <v>59.266666666666673</v>
      </c>
      <c r="R224" s="104">
        <f>P224-Q224</f>
        <v>29.633333333333333</v>
      </c>
    </row>
    <row r="225" spans="1:18">
      <c r="A225" s="11">
        <v>2</v>
      </c>
      <c r="B225" s="11" t="s">
        <v>241</v>
      </c>
      <c r="C225" s="109">
        <v>3</v>
      </c>
      <c r="D225" s="111">
        <v>2</v>
      </c>
      <c r="E225" s="100">
        <f>3.86*C225*D225</f>
        <v>23.16</v>
      </c>
      <c r="F225" s="100">
        <f>4*D225</f>
        <v>8</v>
      </c>
      <c r="G225" s="100">
        <f>4.5*C225*D225</f>
        <v>27</v>
      </c>
      <c r="H225" s="100">
        <f>1*C225*D225+1*D225</f>
        <v>8</v>
      </c>
      <c r="I225" s="100">
        <f>0.5*C225*D225</f>
        <v>3</v>
      </c>
      <c r="J225" s="100">
        <f>0.55*C225*D225</f>
        <v>3.3000000000000003</v>
      </c>
      <c r="K225" s="100">
        <f>1.66*C225*D225</f>
        <v>9.9599999999999991</v>
      </c>
      <c r="L225" s="100">
        <f>0.95*C225*D225</f>
        <v>5.6999999999999993</v>
      </c>
      <c r="M225" s="110"/>
      <c r="N225" s="102"/>
      <c r="O225" s="113"/>
      <c r="P225" s="102">
        <v>90.1</v>
      </c>
      <c r="Q225" s="104">
        <f>P225/C225*2</f>
        <v>60.066666666666663</v>
      </c>
      <c r="R225" s="104">
        <f>P225-Q225</f>
        <v>30.033333333333331</v>
      </c>
    </row>
    <row r="226" spans="1:18">
      <c r="A226" s="11">
        <v>3</v>
      </c>
      <c r="B226" s="11" t="s">
        <v>242</v>
      </c>
      <c r="C226" s="109">
        <v>3</v>
      </c>
      <c r="D226" s="111">
        <v>2</v>
      </c>
      <c r="E226" s="100">
        <f>3.86*C226*D226</f>
        <v>23.16</v>
      </c>
      <c r="F226" s="100">
        <f>4*D226</f>
        <v>8</v>
      </c>
      <c r="G226" s="100">
        <f>4.5*C226*D226</f>
        <v>27</v>
      </c>
      <c r="H226" s="100">
        <f>1*C226*D226+1*D226</f>
        <v>8</v>
      </c>
      <c r="I226" s="100">
        <f>0.5*C226*D226</f>
        <v>3</v>
      </c>
      <c r="J226" s="100">
        <f>0.55*C226*D226</f>
        <v>3.3000000000000003</v>
      </c>
      <c r="K226" s="100">
        <f>1.66*C226*D226</f>
        <v>9.9599999999999991</v>
      </c>
      <c r="L226" s="100">
        <f>0.95*C226*D226</f>
        <v>5.6999999999999993</v>
      </c>
      <c r="M226" s="110"/>
      <c r="N226" s="102"/>
      <c r="O226" s="113"/>
      <c r="P226" s="102">
        <v>114.9</v>
      </c>
      <c r="Q226" s="104">
        <f>P226/C226*2</f>
        <v>76.600000000000009</v>
      </c>
      <c r="R226" s="104">
        <f>P226-Q226</f>
        <v>38.299999999999997</v>
      </c>
    </row>
    <row r="227" spans="1:18">
      <c r="A227" s="1">
        <v>3</v>
      </c>
      <c r="B227" s="1" t="s">
        <v>20</v>
      </c>
      <c r="C227" s="1"/>
      <c r="D227" s="1">
        <f t="shared" ref="D227:R227" si="93">SUM(D224:D226)</f>
        <v>6</v>
      </c>
      <c r="E227" s="1">
        <f t="shared" si="93"/>
        <v>69.48</v>
      </c>
      <c r="F227" s="1">
        <f t="shared" si="93"/>
        <v>24</v>
      </c>
      <c r="G227" s="1">
        <f t="shared" si="93"/>
        <v>81</v>
      </c>
      <c r="H227" s="1">
        <f t="shared" si="93"/>
        <v>24</v>
      </c>
      <c r="I227" s="1">
        <f t="shared" si="93"/>
        <v>9</v>
      </c>
      <c r="J227" s="1">
        <f t="shared" si="93"/>
        <v>9.9</v>
      </c>
      <c r="K227" s="1">
        <f t="shared" si="93"/>
        <v>29.879999999999995</v>
      </c>
      <c r="L227" s="1">
        <f t="shared" si="93"/>
        <v>17.099999999999998</v>
      </c>
      <c r="M227" s="1">
        <f t="shared" si="93"/>
        <v>0</v>
      </c>
      <c r="N227" s="1">
        <f t="shared" si="93"/>
        <v>0</v>
      </c>
      <c r="O227" s="1">
        <f t="shared" si="93"/>
        <v>0</v>
      </c>
      <c r="P227" s="1">
        <f t="shared" si="93"/>
        <v>293.89999999999998</v>
      </c>
      <c r="Q227" s="1">
        <f t="shared" si="93"/>
        <v>195.93333333333334</v>
      </c>
      <c r="R227" s="1">
        <f t="shared" si="93"/>
        <v>97.966666666666669</v>
      </c>
    </row>
    <row r="228" spans="1:18" ht="20.85" customHeight="1">
      <c r="A228" s="1">
        <f>A13+A15+A218+A222+A227</f>
        <v>200</v>
      </c>
      <c r="B228" s="117" t="s">
        <v>263</v>
      </c>
      <c r="C228" s="117"/>
      <c r="D228" s="117">
        <f>D13+D16+D218+D222+D227</f>
        <v>559</v>
      </c>
      <c r="E228" s="117">
        <f t="shared" ref="E228:R228" si="94">E13+E16+E218+E222+E227</f>
        <v>10448.18</v>
      </c>
      <c r="F228" s="117">
        <f t="shared" si="94"/>
        <v>2228</v>
      </c>
      <c r="G228" s="117">
        <f t="shared" si="94"/>
        <v>10438.5</v>
      </c>
      <c r="H228" s="117">
        <f t="shared" si="94"/>
        <v>3117</v>
      </c>
      <c r="I228" s="117">
        <f t="shared" si="94"/>
        <v>1273.7</v>
      </c>
      <c r="J228" s="117">
        <f t="shared" si="94"/>
        <v>1234.7499999999995</v>
      </c>
      <c r="K228" s="117">
        <f t="shared" si="94"/>
        <v>3883.7799999999997</v>
      </c>
      <c r="L228" s="117">
        <f t="shared" si="94"/>
        <v>2279.75</v>
      </c>
      <c r="M228" s="117">
        <f t="shared" si="94"/>
        <v>21</v>
      </c>
      <c r="N228" s="117">
        <f t="shared" si="94"/>
        <v>0</v>
      </c>
      <c r="O228" s="117">
        <f t="shared" si="94"/>
        <v>167.58</v>
      </c>
      <c r="P228" s="117">
        <f t="shared" si="94"/>
        <v>43254.599999999984</v>
      </c>
      <c r="Q228" s="117">
        <f t="shared" si="94"/>
        <v>19278.856666666663</v>
      </c>
      <c r="R228" s="117">
        <f t="shared" si="94"/>
        <v>23975.743333333332</v>
      </c>
    </row>
  </sheetData>
  <mergeCells count="28">
    <mergeCell ref="A219:R219"/>
    <mergeCell ref="A223:R223"/>
    <mergeCell ref="A18:R18"/>
    <mergeCell ref="A23:R23"/>
    <mergeCell ref="A31:R31"/>
    <mergeCell ref="A48:R48"/>
    <mergeCell ref="A49:R49"/>
    <mergeCell ref="P2:R3"/>
    <mergeCell ref="A5:R5"/>
    <mergeCell ref="A14:R14"/>
    <mergeCell ref="A17:R17"/>
    <mergeCell ref="A89:R89"/>
    <mergeCell ref="A1:R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</mergeCells>
  <pageMargins left="0.39374999999999999" right="0.39374999999999999" top="0.39374999999999999" bottom="0.39374999999999999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1024</TotalTime>
  <Application>LibreOffice/5.0.1.2$Windows_x86 LibreOffice_project/81898c9f5c0d43f3473ba111d7b351050be20261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категории 2024</vt:lpstr>
      <vt:lpstr>уборочная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47</cp:revision>
  <cp:lastPrinted>2021-01-28T14:21:03Z</cp:lastPrinted>
  <dcterms:created xsi:type="dcterms:W3CDTF">2017-04-18T14:55:20Z</dcterms:created>
  <dcterms:modified xsi:type="dcterms:W3CDTF">2024-11-20T11:53:38Z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